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5" i="1"/>
  <c r="J191"/>
  <c r="I191"/>
  <c r="H191"/>
  <c r="G191"/>
  <c r="J190"/>
  <c r="I190"/>
  <c r="H190"/>
  <c r="G190"/>
  <c r="J188"/>
  <c r="I188"/>
  <c r="H188"/>
  <c r="G188"/>
  <c r="J186"/>
  <c r="I186"/>
  <c r="H186"/>
  <c r="G186"/>
  <c r="J185"/>
  <c r="I185"/>
  <c r="G185"/>
  <c r="J180"/>
  <c r="I180"/>
  <c r="H180"/>
  <c r="G180"/>
  <c r="J177"/>
  <c r="I177"/>
  <c r="H177"/>
  <c r="G177"/>
  <c r="J166"/>
  <c r="I166"/>
  <c r="H166"/>
  <c r="G166"/>
  <c r="J161"/>
  <c r="I161"/>
  <c r="H161"/>
  <c r="G161"/>
  <c r="J158"/>
  <c r="I158"/>
  <c r="H158"/>
  <c r="G158"/>
  <c r="J147"/>
  <c r="I147"/>
  <c r="H147"/>
  <c r="G147"/>
  <c r="L146"/>
  <c r="L157" s="1"/>
  <c r="J139"/>
  <c r="I139"/>
  <c r="H139"/>
  <c r="G139"/>
  <c r="J142"/>
  <c r="I142"/>
  <c r="H142"/>
  <c r="G142"/>
  <c r="J128"/>
  <c r="I128"/>
  <c r="H128"/>
  <c r="G128"/>
  <c r="J105"/>
  <c r="I105"/>
  <c r="H105"/>
  <c r="G105"/>
  <c r="J101"/>
  <c r="I101"/>
  <c r="H101"/>
  <c r="G101"/>
  <c r="J90"/>
  <c r="I90"/>
  <c r="H90"/>
  <c r="G90"/>
  <c r="J82"/>
  <c r="I82"/>
  <c r="H82"/>
  <c r="G82"/>
  <c r="J74"/>
  <c r="I74"/>
  <c r="H74"/>
  <c r="G74"/>
  <c r="J73"/>
  <c r="I73"/>
  <c r="H73"/>
  <c r="G73"/>
  <c r="J72"/>
  <c r="I72"/>
  <c r="H72"/>
  <c r="G72"/>
  <c r="J77"/>
  <c r="I77"/>
  <c r="H77"/>
  <c r="G77"/>
  <c r="J76"/>
  <c r="I76"/>
  <c r="H76"/>
  <c r="G76"/>
  <c r="J71"/>
  <c r="I71"/>
  <c r="H71"/>
  <c r="G71"/>
  <c r="J67" l="1"/>
  <c r="I67"/>
  <c r="H67"/>
  <c r="G67"/>
  <c r="J66"/>
  <c r="I66"/>
  <c r="H66"/>
  <c r="G66"/>
  <c r="J64"/>
  <c r="I64"/>
  <c r="H64"/>
  <c r="G64"/>
  <c r="I52"/>
  <c r="J55"/>
  <c r="I55"/>
  <c r="H55"/>
  <c r="G55"/>
  <c r="J54"/>
  <c r="I54"/>
  <c r="H54"/>
  <c r="G54"/>
  <c r="J53"/>
  <c r="I53"/>
  <c r="H53"/>
  <c r="G53"/>
  <c r="H52" l="1"/>
  <c r="G52"/>
  <c r="J49"/>
  <c r="I49"/>
  <c r="H49"/>
  <c r="G49"/>
  <c r="J47"/>
  <c r="I47"/>
  <c r="H47"/>
  <c r="G47"/>
  <c r="J48"/>
  <c r="I48"/>
  <c r="H48"/>
  <c r="G48"/>
  <c r="J44"/>
  <c r="I44"/>
  <c r="H44"/>
  <c r="G44"/>
  <c r="J34"/>
  <c r="I34"/>
  <c r="H34"/>
  <c r="G34"/>
  <c r="J33"/>
  <c r="I33"/>
  <c r="H33"/>
  <c r="G33"/>
  <c r="J28"/>
  <c r="I28"/>
  <c r="H28"/>
  <c r="G28"/>
  <c r="J29"/>
  <c r="I29"/>
  <c r="H29"/>
  <c r="G29"/>
  <c r="J25"/>
  <c r="I25"/>
  <c r="H25"/>
  <c r="G25"/>
  <c r="J20"/>
  <c r="I20"/>
  <c r="H20"/>
  <c r="G20"/>
  <c r="J19"/>
  <c r="I19"/>
  <c r="H19"/>
  <c r="G19"/>
  <c r="J17"/>
  <c r="I17"/>
  <c r="H17"/>
  <c r="G17"/>
  <c r="J16"/>
  <c r="I16"/>
  <c r="H16"/>
  <c r="G16"/>
  <c r="J15"/>
  <c r="I15"/>
  <c r="H15"/>
  <c r="G15"/>
  <c r="J14"/>
  <c r="I14"/>
  <c r="H14"/>
  <c r="G14"/>
  <c r="J10"/>
  <c r="I10"/>
  <c r="H10"/>
  <c r="G10"/>
  <c r="J6"/>
  <c r="I6"/>
  <c r="H6"/>
  <c r="G6"/>
  <c r="J116" l="1"/>
  <c r="I116"/>
  <c r="H116"/>
  <c r="G116"/>
  <c r="J115"/>
  <c r="I115"/>
  <c r="H115"/>
  <c r="G115"/>
  <c r="J114"/>
  <c r="I114"/>
  <c r="H114"/>
  <c r="G114"/>
  <c r="J112"/>
  <c r="I112"/>
  <c r="H112"/>
  <c r="G112"/>
  <c r="J111"/>
  <c r="I111"/>
  <c r="H111"/>
  <c r="G111"/>
  <c r="J110"/>
  <c r="I110"/>
  <c r="H110"/>
  <c r="G110"/>
  <c r="J181"/>
  <c r="I181"/>
  <c r="H181"/>
  <c r="G181"/>
  <c r="J172"/>
  <c r="I172"/>
  <c r="H172"/>
  <c r="G172"/>
  <c r="J171"/>
  <c r="I171"/>
  <c r="H171"/>
  <c r="G171"/>
  <c r="J169"/>
  <c r="I169"/>
  <c r="H169"/>
  <c r="G169"/>
  <c r="J168"/>
  <c r="I168"/>
  <c r="H168"/>
  <c r="G168"/>
  <c r="J167"/>
  <c r="I167"/>
  <c r="H167"/>
  <c r="G167"/>
  <c r="J162"/>
  <c r="I162"/>
  <c r="H162"/>
  <c r="G162"/>
  <c r="J153"/>
  <c r="I153"/>
  <c r="H153"/>
  <c r="G153"/>
  <c r="J152"/>
  <c r="I152"/>
  <c r="H152"/>
  <c r="G152"/>
  <c r="J150"/>
  <c r="I150"/>
  <c r="H150"/>
  <c r="G150"/>
  <c r="J149"/>
  <c r="I149"/>
  <c r="H149"/>
  <c r="G149"/>
  <c r="J148"/>
  <c r="I148"/>
  <c r="H148"/>
  <c r="G148"/>
  <c r="J143"/>
  <c r="I143"/>
  <c r="H143"/>
  <c r="G143"/>
  <c r="J134"/>
  <c r="I134"/>
  <c r="H134"/>
  <c r="G134"/>
  <c r="J133"/>
  <c r="I133"/>
  <c r="H133"/>
  <c r="G133"/>
  <c r="J131"/>
  <c r="I131"/>
  <c r="H131"/>
  <c r="G131"/>
  <c r="J129"/>
  <c r="I129"/>
  <c r="H129"/>
  <c r="G129"/>
  <c r="H124"/>
  <c r="G124"/>
  <c r="J123"/>
  <c r="I123"/>
  <c r="H123"/>
  <c r="G123"/>
  <c r="J121"/>
  <c r="I121"/>
  <c r="H121"/>
  <c r="G121"/>
  <c r="J120"/>
  <c r="I120"/>
  <c r="H120"/>
  <c r="G120"/>
  <c r="J109" l="1"/>
  <c r="I109"/>
  <c r="G109"/>
  <c r="J104"/>
  <c r="I104"/>
  <c r="H104"/>
  <c r="G104"/>
  <c r="H91" l="1"/>
  <c r="G91"/>
  <c r="J92"/>
  <c r="I92"/>
  <c r="H92"/>
  <c r="G92"/>
  <c r="J91"/>
  <c r="J96"/>
  <c r="I96"/>
  <c r="H96"/>
  <c r="G96"/>
  <c r="J95"/>
  <c r="I95"/>
  <c r="H95"/>
  <c r="G95"/>
  <c r="I91"/>
  <c r="J85"/>
  <c r="I85"/>
  <c r="H85"/>
  <c r="G85"/>
  <c r="J86"/>
  <c r="I86"/>
  <c r="H86"/>
  <c r="G86"/>
  <c r="J58"/>
  <c r="I58"/>
  <c r="H58"/>
  <c r="G58"/>
  <c r="J57"/>
  <c r="I57"/>
  <c r="H57"/>
  <c r="G57"/>
  <c r="J39"/>
  <c r="I39"/>
  <c r="H39"/>
  <c r="G39"/>
  <c r="J38"/>
  <c r="I38"/>
  <c r="H38"/>
  <c r="G38"/>
  <c r="J36"/>
  <c r="I36"/>
  <c r="H36"/>
  <c r="G36"/>
  <c r="J35"/>
  <c r="I35"/>
  <c r="H35"/>
  <c r="G35"/>
  <c r="J9"/>
  <c r="I9"/>
  <c r="H9"/>
  <c r="G9"/>
  <c r="B195" l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G13"/>
  <c r="F13"/>
  <c r="F24" s="1"/>
  <c r="F157" l="1"/>
  <c r="H157"/>
  <c r="L100"/>
  <c r="I62"/>
  <c r="L138"/>
  <c r="H195"/>
  <c r="F176"/>
  <c r="J157"/>
  <c r="H138"/>
  <c r="L119"/>
  <c r="F119"/>
  <c r="L81"/>
  <c r="L62"/>
  <c r="L43"/>
  <c r="L24"/>
  <c r="J100"/>
  <c r="H81"/>
  <c r="G81"/>
  <c r="F62"/>
  <c r="J43"/>
  <c r="I43"/>
  <c r="I196" s="1"/>
  <c r="H24"/>
  <c r="F196"/>
  <c r="G24"/>
  <c r="L196" l="1"/>
  <c r="G196"/>
  <c r="H196"/>
  <c r="J196"/>
</calcChain>
</file>

<file path=xl/sharedStrings.xml><?xml version="1.0" encoding="utf-8"?>
<sst xmlns="http://schemas.openxmlformats.org/spreadsheetml/2006/main" count="394" uniqueCount="149">
  <si>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</si>
  <si>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</si>
  <si>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</si>
  <si>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</si>
  <si>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</si>
  <si>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</si>
  <si>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</si>
  <si>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</si>
  <si>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</si>
  <si>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</si>
  <si>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</si>
  <si>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</si>
  <si>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</si>
  <si>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</si>
  <si>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</si>
  <si>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</si>
  <si>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</si>
  <si>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</si>
  <si>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</si>
  <si>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</si>
  <si>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</si>
  <si>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</si>
  <si>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</si>
  <si>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</si>
  <si>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</si>
  <si>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</si>
  <si>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</si>
  <si>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</si>
  <si>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</si>
  <si>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</si>
  <si>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</si>
  <si>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</si>
  <si>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</si>
  <si>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</si>
  <si>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</si>
  <si>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</si>
  <si>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</si>
  <si>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</si>
  <si>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молочная ассорти с маслом сливочным</t>
  </si>
  <si>
    <t>Кофейный напиток на молоке</t>
  </si>
  <si>
    <t xml:space="preserve"> Хлеб ржано-пшеничный</t>
  </si>
  <si>
    <t>Фрукт</t>
  </si>
  <si>
    <t>Биточки из говядины паровые</t>
  </si>
  <si>
    <t>Макароны отварные</t>
  </si>
  <si>
    <t>Компот из кураги и яблок</t>
  </si>
  <si>
    <t>Хлеб пшеничный витаминизированный</t>
  </si>
  <si>
    <t>Доп гарнир:огурец свежий</t>
  </si>
  <si>
    <t>Чай с лимоном</t>
  </si>
  <si>
    <t>Борщ из капусты с картофелем, сметаной и зеленью,мясом</t>
  </si>
  <si>
    <t xml:space="preserve">Котлета из кур </t>
  </si>
  <si>
    <t>Рис, припушенный с овощами</t>
  </si>
  <si>
    <t>Компот из свежих плодов (яблок)</t>
  </si>
  <si>
    <t>Напиток из шиповника</t>
  </si>
  <si>
    <t>Щи с капустой и картофелем со сметаной и зеленью,мясом</t>
  </si>
  <si>
    <t>Каша гречневая рассыпчатая</t>
  </si>
  <si>
    <t>Мясо кур отварное в соусе</t>
  </si>
  <si>
    <t>Напиток "Золотой шар"</t>
  </si>
  <si>
    <t>Какао  на молоке</t>
  </si>
  <si>
    <t>Рассольник с крупой,  сметаной и зеленью,мясом</t>
  </si>
  <si>
    <t>Тефтели рыбные  в соусе</t>
  </si>
  <si>
    <t>Картофельное пюре</t>
  </si>
  <si>
    <t>Кисель из ягод</t>
  </si>
  <si>
    <t>Голень или бедро птицы отварное</t>
  </si>
  <si>
    <t>Компот из сухофруктов</t>
  </si>
  <si>
    <t>хлеб черн</t>
  </si>
  <si>
    <t>Бутерброд с сыром</t>
  </si>
  <si>
    <t>Доп гарнир:помидор свежий</t>
  </si>
  <si>
    <t xml:space="preserve">Плов </t>
  </si>
  <si>
    <t>пром</t>
  </si>
  <si>
    <t xml:space="preserve">пром </t>
  </si>
  <si>
    <t>Суп овощной со сметаной и мясом</t>
  </si>
  <si>
    <t>Каша пшеничная молочная с маслом сливочным</t>
  </si>
  <si>
    <t>Яйцо отварное</t>
  </si>
  <si>
    <t>Гренки</t>
  </si>
  <si>
    <t>Колбаски "Витаминные"</t>
  </si>
  <si>
    <t xml:space="preserve">  Капуста тушеная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</si>
  <si>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Компот из кураги </t>
  </si>
  <si>
    <t>44532</t>
  </si>
  <si>
    <t>64</t>
  </si>
  <si>
    <t xml:space="preserve">Запеканка из творога </t>
  </si>
  <si>
    <t>Молоко сгущенное</t>
  </si>
  <si>
    <t>Чай с сахаром</t>
  </si>
  <si>
    <t>фрукт</t>
  </si>
  <si>
    <t xml:space="preserve">Суп картофельный с рыбной консервой </t>
  </si>
  <si>
    <t>73</t>
  </si>
  <si>
    <t>46.3</t>
  </si>
  <si>
    <t>36.10</t>
  </si>
  <si>
    <t>Суп-лапша на куринном бульоне с зеленью</t>
  </si>
  <si>
    <t xml:space="preserve">Котлета мясная </t>
  </si>
  <si>
    <t>22.2</t>
  </si>
  <si>
    <t>16.8</t>
  </si>
  <si>
    <t>39.3</t>
  </si>
  <si>
    <t>948</t>
  </si>
  <si>
    <t xml:space="preserve">Суп картофельный с макаронными изделиями и мясом </t>
  </si>
  <si>
    <t>Биточек куриный паровой</t>
  </si>
  <si>
    <t>Горох отварной</t>
  </si>
  <si>
    <t>Компот из яблок и изюма</t>
  </si>
  <si>
    <t>18.2</t>
  </si>
  <si>
    <t>21.4</t>
  </si>
  <si>
    <t>37.2</t>
  </si>
  <si>
    <t>Сосиска отварная</t>
  </si>
  <si>
    <t>Рагу из овощей</t>
  </si>
  <si>
    <t>2</t>
  </si>
  <si>
    <t>38.2</t>
  </si>
  <si>
    <t>59.8</t>
  </si>
  <si>
    <t>32/3</t>
  </si>
  <si>
    <t>44357</t>
  </si>
  <si>
    <t>яблоко</t>
  </si>
  <si>
    <t>Суп крестьянский с крупой и сметаной</t>
  </si>
  <si>
    <t>Доп.гарнир: квашенная капуста</t>
  </si>
  <si>
    <t>Суп картофельный с бобовыми</t>
  </si>
  <si>
    <t>44348/1</t>
  </si>
  <si>
    <t>16.2</t>
  </si>
  <si>
    <t>Суп молочный с лапшой</t>
  </si>
  <si>
    <t>Яблоко свежее</t>
  </si>
  <si>
    <t>24/2</t>
  </si>
  <si>
    <t>Омлет натуральный</t>
  </si>
  <si>
    <t>Напиток каркаде</t>
  </si>
  <si>
    <t>Доп гарнир:Зеленый горошек</t>
  </si>
  <si>
    <t>27.10</t>
  </si>
  <si>
    <t>Доп гарнир:огурец свежий с зеленью и маслом растительным</t>
  </si>
  <si>
    <t>1.3</t>
  </si>
  <si>
    <t>Каша  молочная манная   с маслом сливочным</t>
  </si>
  <si>
    <t>Чай с молоком</t>
  </si>
  <si>
    <t>Бутерброд с маслом и сыром</t>
  </si>
  <si>
    <t xml:space="preserve">хлеб </t>
  </si>
  <si>
    <t>Доп гарнир:помидор с зеленью и растительным маслом</t>
  </si>
  <si>
    <t>2.1</t>
  </si>
  <si>
    <t>сладкое</t>
  </si>
  <si>
    <t>Яблоко печеное</t>
  </si>
  <si>
    <t>32.10</t>
  </si>
  <si>
    <t xml:space="preserve">Доп.гарнир: огурец соленый </t>
  </si>
  <si>
    <t>1.2</t>
  </si>
  <si>
    <t>20.2</t>
  </si>
  <si>
    <t>Каша рисовая молочная с маслом сливочным</t>
  </si>
  <si>
    <t>27,1</t>
  </si>
  <si>
    <t>Суп картофельный со сметаной и гренками</t>
  </si>
  <si>
    <t>Доп.гарнир: помидор свежий</t>
  </si>
  <si>
    <t>Запеканка из творога  со сгущенным молоком</t>
  </si>
  <si>
    <t>Бутерброд с маслом и повидлом</t>
  </si>
  <si>
    <t>4443</t>
  </si>
  <si>
    <t xml:space="preserve">Доп.гарнир:свекла отварная </t>
  </si>
  <si>
    <t>32/1</t>
  </si>
  <si>
    <t>17.4</t>
  </si>
  <si>
    <t>Суп молочный с крупой</t>
  </si>
  <si>
    <t>26/2</t>
  </si>
  <si>
    <t>31/10</t>
  </si>
  <si>
    <t>МАОУ"СОШ№19"</t>
  </si>
  <si>
    <t>Директор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</si>
</sst>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2" fontId="8" fillId="0" borderId="2" xfId="0" applyNumberFormat="1" applyFont="1" applyBorder="1" applyAlignment="1" applyProtection="1">
      <alignment horizontal="left" vertical="center"/>
      <protection locked="0"/>
    </xf>
    <xf numFmtId="2" fontId="8" fillId="0" borderId="2" xfId="0" applyNumberFormat="1" applyFont="1" applyBorder="1" applyAlignment="1" applyProtection="1">
      <alignment vertical="center"/>
      <protection locked="0"/>
    </xf>
    <xf numFmtId="2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Border="1" applyAlignment="1">
      <alignment vertical="center" wrapText="1"/>
    </xf>
    <xf numFmtId="2" fontId="8" fillId="0" borderId="2" xfId="0" applyNumberFormat="1" applyFont="1" applyFill="1" applyBorder="1" applyAlignment="1">
      <alignment vertical="center"/>
    </xf>
    <xf numFmtId="2" fontId="8" fillId="0" borderId="2" xfId="0" applyNumberFormat="1" applyFont="1" applyBorder="1" applyAlignment="1">
      <alignment horizontal="left" vertical="center" wrapText="1"/>
    </xf>
    <xf numFmtId="2" fontId="8" fillId="0" borderId="0" xfId="0" applyNumberFormat="1" applyFont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left" vertical="center"/>
    </xf>
    <xf numFmtId="164" fontId="8" fillId="0" borderId="23" xfId="0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>
      <alignment horizontal="center" vertical="top" wrapText="1"/>
    </xf>
    <xf numFmtId="2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/>
    <xf numFmtId="2" fontId="9" fillId="0" borderId="2" xfId="0" applyNumberFormat="1" applyFont="1" applyBorder="1" applyAlignment="1">
      <alignment horizontal="center" vertical="top" wrapText="1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center" wrapText="1"/>
      <protection locked="0"/>
    </xf>
    <xf numFmtId="2" fontId="9" fillId="2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/>
    </xf>
    <xf numFmtId="0" fontId="9" fillId="0" borderId="17" xfId="0" applyFont="1" applyBorder="1" applyAlignment="1">
      <alignment horizontal="left" vertical="center" wrapText="1"/>
    </xf>
    <xf numFmtId="2" fontId="9" fillId="0" borderId="2" xfId="0" applyNumberFormat="1" applyFont="1" applyBorder="1" applyAlignment="1">
      <alignment horizontal="left" vertical="center" wrapText="1"/>
    </xf>
    <xf numFmtId="0" fontId="9" fillId="2" borderId="26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vertical="center" wrapText="1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2" fontId="8" fillId="0" borderId="0" xfId="0" applyNumberFormat="1" applyFont="1" applyFill="1" applyAlignment="1">
      <alignment horizontal="left" vertical="center" wrapText="1"/>
    </xf>
    <xf numFmtId="49" fontId="9" fillId="2" borderId="15" xfId="0" applyNumberFormat="1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8" fillId="0" borderId="2" xfId="0" applyNumberFormat="1" applyFont="1" applyBorder="1" applyAlignment="1">
      <alignment horizontal="center" vertical="top"/>
    </xf>
    <xf numFmtId="2" fontId="9" fillId="2" borderId="15" xfId="0" applyNumberFormat="1" applyFont="1" applyFill="1" applyBorder="1" applyAlignment="1" applyProtection="1">
      <alignment horizontal="center" vertical="top" wrapText="1"/>
      <protection locked="0"/>
    </xf>
    <xf numFmtId="2" fontId="9" fillId="2" borderId="17" xfId="0" applyNumberFormat="1" applyFont="1" applyFill="1" applyBorder="1" applyAlignment="1" applyProtection="1">
      <alignment horizontal="center" vertical="top" wrapText="1"/>
      <protection locked="0"/>
    </xf>
    <xf numFmtId="0" fontId="9" fillId="0" borderId="14" xfId="0" applyFont="1" applyBorder="1"/>
    <xf numFmtId="0" fontId="9" fillId="0" borderId="1" xfId="0" applyFont="1" applyBorder="1"/>
    <xf numFmtId="0" fontId="9" fillId="0" borderId="6" xfId="0" applyFont="1" applyBorder="1"/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9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5" xfId="0" applyFont="1" applyBorder="1"/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2" fontId="9" fillId="3" borderId="3" xfId="0" applyNumberFormat="1" applyFont="1" applyFill="1" applyBorder="1" applyAlignment="1">
      <alignment horizontal="center" vertical="top" wrapText="1"/>
    </xf>
    <xf numFmtId="1" fontId="9" fillId="2" borderId="17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17" xfId="0" applyNumberFormat="1" applyFont="1" applyFill="1" applyBorder="1" applyAlignment="1" applyProtection="1">
      <alignment horizontal="center" vertical="top" wrapText="1"/>
      <protection locked="0"/>
    </xf>
    <xf numFmtId="2" fontId="9" fillId="0" borderId="17" xfId="0" applyNumberFormat="1" applyFont="1" applyBorder="1" applyAlignment="1">
      <alignment horizontal="center" vertical="top" wrapText="1"/>
    </xf>
    <xf numFmtId="2" fontId="9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left" vertical="center"/>
    </xf>
    <xf numFmtId="2" fontId="8" fillId="0" borderId="24" xfId="0" applyNumberFormat="1" applyFont="1" applyBorder="1" applyAlignment="1">
      <alignment horizontal="left" vertical="center"/>
    </xf>
    <xf numFmtId="2" fontId="8" fillId="0" borderId="25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P34" sqref="P3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8.42578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5703125" style="2" bestFit="1" customWidth="1"/>
    <col min="13" max="13" width="9.140625" style="2" hidden="1" customWidth="1"/>
    <col min="14" max="16384" width="9.140625" style="2"/>
  </cols>
  <sheetData>
    <row r="1" spans="1:13" ht="15">
      <c r="A1" s="1" t="s">
        <v>7</v>
      </c>
      <c r="C1" s="102" t="s">
        <v>147</v>
      </c>
      <c r="D1" s="103"/>
      <c r="E1" s="103"/>
      <c r="F1" s="5" t="s">
        <v>16</v>
      </c>
      <c r="G1" s="2" t="s">
        <v>17</v>
      </c>
      <c r="H1" s="104" t="s">
        <v>148</v>
      </c>
      <c r="I1" s="104"/>
      <c r="J1" s="104"/>
      <c r="K1" s="104"/>
    </row>
    <row r="2" spans="1:13" ht="18">
      <c r="A2" s="21" t="s">
        <v>6</v>
      </c>
      <c r="C2" s="2"/>
      <c r="G2" s="2" t="s">
        <v>18</v>
      </c>
      <c r="H2" s="104"/>
      <c r="I2" s="104"/>
      <c r="J2" s="104"/>
      <c r="K2" s="104"/>
    </row>
    <row r="3" spans="1:13" ht="17.25" customHeight="1">
      <c r="A3" s="4" t="s">
        <v>8</v>
      </c>
      <c r="C3" s="2"/>
      <c r="D3" s="3"/>
      <c r="E3" s="24" t="s">
        <v>9</v>
      </c>
      <c r="G3" s="2" t="s">
        <v>19</v>
      </c>
      <c r="H3" s="28">
        <v>9</v>
      </c>
      <c r="I3" s="28">
        <v>1</v>
      </c>
      <c r="J3" s="29">
        <v>2025</v>
      </c>
      <c r="K3" s="30"/>
    </row>
    <row r="4" spans="1:13" ht="13.5" thickBot="1">
      <c r="C4" s="2"/>
      <c r="D4" s="4"/>
      <c r="H4" s="27" t="s">
        <v>35</v>
      </c>
      <c r="I4" s="27" t="s">
        <v>36</v>
      </c>
      <c r="J4" s="27" t="s">
        <v>37</v>
      </c>
    </row>
    <row r="5" spans="1:13" ht="34.5" thickBot="1">
      <c r="A5" s="25" t="s">
        <v>14</v>
      </c>
      <c r="B5" s="26" t="s">
        <v>15</v>
      </c>
      <c r="C5" s="22" t="s">
        <v>0</v>
      </c>
      <c r="D5" s="22" t="s">
        <v>13</v>
      </c>
      <c r="E5" s="22" t="s">
        <v>12</v>
      </c>
      <c r="F5" s="22" t="s">
        <v>33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68" t="s">
        <v>34</v>
      </c>
    </row>
    <row r="6" spans="1:13" ht="15.75">
      <c r="A6" s="11">
        <v>1</v>
      </c>
      <c r="B6" s="12">
        <v>1</v>
      </c>
      <c r="C6" s="82" t="s">
        <v>20</v>
      </c>
      <c r="D6" s="83" t="s">
        <v>21</v>
      </c>
      <c r="E6" s="37" t="s">
        <v>71</v>
      </c>
      <c r="F6" s="31">
        <v>250</v>
      </c>
      <c r="G6" s="34">
        <f>F6*8.2/220</f>
        <v>9.3181818181818183</v>
      </c>
      <c r="H6" s="34">
        <f>F6*12.54/220</f>
        <v>14.25</v>
      </c>
      <c r="I6" s="34">
        <f>F6*34.43/220</f>
        <v>39.125</v>
      </c>
      <c r="J6" s="34">
        <f>F6*283.58/220</f>
        <v>322.25</v>
      </c>
      <c r="K6" s="67">
        <v>16.399999999999999</v>
      </c>
      <c r="L6" s="108">
        <v>26.18</v>
      </c>
      <c r="M6" s="108"/>
    </row>
    <row r="7" spans="1:13" ht="15.75">
      <c r="A7" s="13"/>
      <c r="B7" s="8"/>
      <c r="C7" s="84"/>
      <c r="D7" s="85"/>
      <c r="E7" s="86"/>
      <c r="F7" s="87"/>
      <c r="G7" s="87"/>
      <c r="H7" s="87"/>
      <c r="I7" s="87"/>
      <c r="J7" s="87"/>
      <c r="K7" s="62"/>
      <c r="L7" s="63"/>
      <c r="M7" s="64"/>
    </row>
    <row r="8" spans="1:13" ht="15.75">
      <c r="A8" s="13"/>
      <c r="B8" s="8"/>
      <c r="C8" s="84"/>
      <c r="D8" s="88" t="s">
        <v>22</v>
      </c>
      <c r="E8" s="32" t="s">
        <v>39</v>
      </c>
      <c r="F8" s="31">
        <v>200</v>
      </c>
      <c r="G8" s="31">
        <v>3.1</v>
      </c>
      <c r="H8" s="31">
        <v>3.2</v>
      </c>
      <c r="I8" s="31">
        <v>14.4</v>
      </c>
      <c r="J8" s="31">
        <v>99</v>
      </c>
      <c r="K8" s="62">
        <v>32.1</v>
      </c>
      <c r="L8" s="63">
        <v>15.22</v>
      </c>
      <c r="M8" s="64"/>
    </row>
    <row r="9" spans="1:13" ht="15.75">
      <c r="A9" s="13"/>
      <c r="B9" s="8"/>
      <c r="C9" s="84"/>
      <c r="D9" s="88" t="s">
        <v>23</v>
      </c>
      <c r="E9" s="32" t="s">
        <v>40</v>
      </c>
      <c r="F9" s="31">
        <v>30</v>
      </c>
      <c r="G9" s="31">
        <f>SUM(F9*1.68/30)</f>
        <v>1.68</v>
      </c>
      <c r="H9" s="31">
        <f>SUM(F9*0.33/30)</f>
        <v>0.33</v>
      </c>
      <c r="I9" s="31">
        <f>SUM(F9*14.82/30)</f>
        <v>14.82</v>
      </c>
      <c r="J9" s="31">
        <f>SUM(F9*68.97/30)</f>
        <v>68.97</v>
      </c>
      <c r="K9" s="62" t="s">
        <v>68</v>
      </c>
      <c r="L9" s="63">
        <v>2.2999999999999998</v>
      </c>
      <c r="M9" s="64"/>
    </row>
    <row r="10" spans="1:13" ht="15.75">
      <c r="A10" s="13"/>
      <c r="B10" s="8"/>
      <c r="C10" s="84"/>
      <c r="D10" s="88"/>
      <c r="E10" s="34" t="s">
        <v>65</v>
      </c>
      <c r="F10" s="34">
        <v>70</v>
      </c>
      <c r="G10" s="34">
        <f>SUM(F10*6.1/50)</f>
        <v>8.5399999999999991</v>
      </c>
      <c r="H10" s="34">
        <f>SUM(F10*3.7/50)</f>
        <v>5.18</v>
      </c>
      <c r="I10" s="34">
        <f>SUM(F10*17.5/50)</f>
        <v>24.5</v>
      </c>
      <c r="J10" s="34">
        <f>SUM(F10*130/50)</f>
        <v>182</v>
      </c>
      <c r="K10" s="47">
        <v>44240</v>
      </c>
      <c r="L10" s="63">
        <v>32.69</v>
      </c>
      <c r="M10" s="64"/>
    </row>
    <row r="11" spans="1:13" ht="15.75">
      <c r="A11" s="13"/>
      <c r="B11" s="8"/>
      <c r="C11" s="84"/>
      <c r="D11" s="85"/>
      <c r="E11" s="54" t="s">
        <v>100</v>
      </c>
      <c r="F11" s="34">
        <v>50</v>
      </c>
      <c r="G11" s="34">
        <v>13.7</v>
      </c>
      <c r="H11" s="34">
        <v>15.8</v>
      </c>
      <c r="I11" s="34">
        <v>5.8</v>
      </c>
      <c r="J11" s="34">
        <v>220</v>
      </c>
      <c r="K11" s="44" t="s">
        <v>104</v>
      </c>
      <c r="L11" s="63">
        <v>34.68</v>
      </c>
      <c r="M11" s="64"/>
    </row>
    <row r="12" spans="1:13" ht="15.75">
      <c r="A12" s="13"/>
      <c r="B12" s="8"/>
      <c r="C12" s="84"/>
      <c r="D12" s="85"/>
      <c r="E12" s="86"/>
      <c r="F12" s="87"/>
      <c r="G12" s="87"/>
      <c r="H12" s="87"/>
      <c r="I12" s="87"/>
      <c r="J12" s="87"/>
      <c r="K12" s="62"/>
      <c r="L12" s="63"/>
      <c r="M12" s="64"/>
    </row>
    <row r="13" spans="1:13" ht="15.75">
      <c r="A13" s="14"/>
      <c r="B13" s="10"/>
      <c r="C13" s="89"/>
      <c r="D13" s="90" t="s">
        <v>32</v>
      </c>
      <c r="E13" s="91"/>
      <c r="F13" s="92">
        <f>SUM(F6:F12)</f>
        <v>600</v>
      </c>
      <c r="G13" s="60">
        <f t="shared" ref="G13:J13" si="0">SUM(G6:G12)</f>
        <v>36.338181818181816</v>
      </c>
      <c r="H13" s="60">
        <f t="shared" si="0"/>
        <v>38.76</v>
      </c>
      <c r="I13" s="60">
        <f t="shared" si="0"/>
        <v>98.644999999999996</v>
      </c>
      <c r="J13" s="60">
        <f t="shared" si="0"/>
        <v>892.22</v>
      </c>
      <c r="K13" s="65"/>
      <c r="L13" s="66">
        <f t="shared" ref="L13" si="1">SUM(L6:L12)</f>
        <v>111.07</v>
      </c>
      <c r="M13" s="64"/>
    </row>
    <row r="14" spans="1:13" ht="15.75">
      <c r="A14" s="15">
        <f>A6</f>
        <v>1</v>
      </c>
      <c r="B14" s="6">
        <f>B6</f>
        <v>1</v>
      </c>
      <c r="C14" s="93" t="s">
        <v>24</v>
      </c>
      <c r="D14" s="88" t="s">
        <v>25</v>
      </c>
      <c r="E14" s="35" t="s">
        <v>109</v>
      </c>
      <c r="F14" s="34">
        <v>65</v>
      </c>
      <c r="G14" s="34">
        <f>F14*0.9/60</f>
        <v>0.97499999999999998</v>
      </c>
      <c r="H14" s="34">
        <f>F14*3.6/60</f>
        <v>3.9</v>
      </c>
      <c r="I14" s="34">
        <f>F14*4.5/60</f>
        <v>4.875</v>
      </c>
      <c r="J14" s="34">
        <f>F14*54/60</f>
        <v>58.5</v>
      </c>
      <c r="K14" s="47" t="s">
        <v>111</v>
      </c>
      <c r="L14" s="109">
        <v>16.66</v>
      </c>
      <c r="M14" s="110"/>
    </row>
    <row r="15" spans="1:13" ht="15.75">
      <c r="A15" s="13"/>
      <c r="B15" s="8"/>
      <c r="C15" s="84"/>
      <c r="D15" s="88" t="s">
        <v>26</v>
      </c>
      <c r="E15" s="35" t="s">
        <v>110</v>
      </c>
      <c r="F15" s="31">
        <v>200</v>
      </c>
      <c r="G15" s="34">
        <f>F15*4.4/200</f>
        <v>4.4000000000000004</v>
      </c>
      <c r="H15" s="34">
        <f>F15*4.8/200</f>
        <v>4.8</v>
      </c>
      <c r="I15" s="34">
        <f>F15*16.6/200</f>
        <v>16.600000000000001</v>
      </c>
      <c r="J15" s="34">
        <f>F15*124.5/200</f>
        <v>124.5</v>
      </c>
      <c r="K15" s="44" t="s">
        <v>112</v>
      </c>
      <c r="L15" s="108">
        <v>5.53</v>
      </c>
      <c r="M15" s="108"/>
    </row>
    <row r="16" spans="1:13" ht="15.75">
      <c r="A16" s="13"/>
      <c r="B16" s="8"/>
      <c r="C16" s="84"/>
      <c r="D16" s="88" t="s">
        <v>27</v>
      </c>
      <c r="E16" s="36" t="s">
        <v>42</v>
      </c>
      <c r="F16" s="31">
        <v>90</v>
      </c>
      <c r="G16" s="34">
        <f>F16*11.68/90</f>
        <v>11.68</v>
      </c>
      <c r="H16" s="34">
        <f>F16*11.61/90</f>
        <v>11.609999999999998</v>
      </c>
      <c r="I16" s="34">
        <f>F16*5.76/90</f>
        <v>5.76</v>
      </c>
      <c r="J16" s="34">
        <f>F16*175/90</f>
        <v>175</v>
      </c>
      <c r="K16" s="44" t="s">
        <v>90</v>
      </c>
      <c r="L16" s="108">
        <v>61.15</v>
      </c>
      <c r="M16" s="108"/>
    </row>
    <row r="17" spans="1:13" ht="15.75">
      <c r="A17" s="13"/>
      <c r="B17" s="8"/>
      <c r="C17" s="84"/>
      <c r="D17" s="88" t="s">
        <v>28</v>
      </c>
      <c r="E17" s="33" t="s">
        <v>43</v>
      </c>
      <c r="F17" s="31">
        <v>150</v>
      </c>
      <c r="G17" s="34">
        <f>F17*5.3/150</f>
        <v>5.3</v>
      </c>
      <c r="H17" s="34">
        <f>F17*3/150</f>
        <v>3</v>
      </c>
      <c r="I17" s="34">
        <f>F17*32.4/150</f>
        <v>32.4</v>
      </c>
      <c r="J17" s="34">
        <f>F17*178/150</f>
        <v>178</v>
      </c>
      <c r="K17" s="47" t="s">
        <v>85</v>
      </c>
      <c r="L17" s="108">
        <v>6.9</v>
      </c>
      <c r="M17" s="108"/>
    </row>
    <row r="18" spans="1:13" ht="15.75">
      <c r="A18" s="13"/>
      <c r="B18" s="8"/>
      <c r="C18" s="84"/>
      <c r="D18" s="88" t="s">
        <v>29</v>
      </c>
      <c r="E18" s="33" t="s">
        <v>44</v>
      </c>
      <c r="F18" s="31">
        <v>200</v>
      </c>
      <c r="G18" s="34">
        <v>0.4</v>
      </c>
      <c r="H18" s="34">
        <v>0.2</v>
      </c>
      <c r="I18" s="34">
        <v>16.100000000000001</v>
      </c>
      <c r="J18" s="34">
        <v>68</v>
      </c>
      <c r="K18" s="47">
        <v>44206</v>
      </c>
      <c r="L18" s="108">
        <v>13.37</v>
      </c>
      <c r="M18" s="108"/>
    </row>
    <row r="19" spans="1:13" ht="15.75">
      <c r="A19" s="13"/>
      <c r="B19" s="8"/>
      <c r="C19" s="84"/>
      <c r="D19" s="88" t="s">
        <v>30</v>
      </c>
      <c r="E19" s="35" t="s">
        <v>45</v>
      </c>
      <c r="F19" s="34">
        <v>50</v>
      </c>
      <c r="G19" s="34">
        <f>SUM(F19*2.37/30)</f>
        <v>3.95</v>
      </c>
      <c r="H19" s="34">
        <f>SUM(F19*0.3/30)</f>
        <v>0.5</v>
      </c>
      <c r="I19" s="34">
        <f>SUM(F19*14.49/30)</f>
        <v>24.15</v>
      </c>
      <c r="J19" s="34">
        <f>SUM(F19*70.14/30)</f>
        <v>116.9</v>
      </c>
      <c r="K19" s="47" t="s">
        <v>68</v>
      </c>
      <c r="L19" s="108">
        <v>4.17</v>
      </c>
      <c r="M19" s="108"/>
    </row>
    <row r="20" spans="1:13" ht="15.75">
      <c r="A20" s="13"/>
      <c r="B20" s="8"/>
      <c r="C20" s="84"/>
      <c r="D20" s="88" t="s">
        <v>31</v>
      </c>
      <c r="E20" s="33" t="s">
        <v>40</v>
      </c>
      <c r="F20" s="34">
        <v>43</v>
      </c>
      <c r="G20" s="34">
        <f>SUM(F20*1.68/30)</f>
        <v>2.4079999999999999</v>
      </c>
      <c r="H20" s="34">
        <f>SUM(F20*0.33/30)</f>
        <v>0.47300000000000003</v>
      </c>
      <c r="I20" s="34">
        <f>SUM(F20*14.82/30)</f>
        <v>21.242000000000001</v>
      </c>
      <c r="J20" s="34">
        <f>SUM(F20*68.97/30)</f>
        <v>98.856999999999999</v>
      </c>
      <c r="K20" s="47" t="s">
        <v>69</v>
      </c>
      <c r="L20" s="108">
        <v>3.29</v>
      </c>
      <c r="M20" s="108"/>
    </row>
    <row r="21" spans="1:13" ht="15.75">
      <c r="A21" s="13"/>
      <c r="B21" s="8"/>
      <c r="C21" s="84"/>
      <c r="D21" s="85"/>
      <c r="E21" s="86"/>
      <c r="F21" s="87"/>
      <c r="G21" s="87"/>
      <c r="H21" s="87"/>
      <c r="I21" s="87"/>
      <c r="J21" s="87"/>
      <c r="K21" s="56"/>
      <c r="L21" s="58"/>
      <c r="M21" s="59"/>
    </row>
    <row r="22" spans="1:13" ht="15.75">
      <c r="A22" s="13"/>
      <c r="B22" s="8"/>
      <c r="C22" s="84"/>
      <c r="D22" s="85"/>
      <c r="E22" s="86"/>
      <c r="F22" s="87"/>
      <c r="G22" s="87"/>
      <c r="H22" s="87"/>
      <c r="I22" s="87"/>
      <c r="J22" s="87"/>
      <c r="K22" s="56"/>
      <c r="L22" s="58"/>
      <c r="M22" s="59"/>
    </row>
    <row r="23" spans="1:13" ht="15.75">
      <c r="A23" s="14"/>
      <c r="B23" s="10"/>
      <c r="C23" s="89"/>
      <c r="D23" s="90" t="s">
        <v>32</v>
      </c>
      <c r="E23" s="91"/>
      <c r="F23" s="92">
        <f>SUM(F14:F22)</f>
        <v>798</v>
      </c>
      <c r="G23" s="60">
        <f t="shared" ref="G23:J23" si="2">SUM(G14:G22)</f>
        <v>29.113</v>
      </c>
      <c r="H23" s="60">
        <f t="shared" si="2"/>
        <v>24.482999999999993</v>
      </c>
      <c r="I23" s="60">
        <f t="shared" si="2"/>
        <v>121.127</v>
      </c>
      <c r="J23" s="60">
        <f t="shared" si="2"/>
        <v>819.75699999999995</v>
      </c>
      <c r="K23" s="57"/>
      <c r="L23" s="60">
        <f t="shared" ref="L23" si="3">SUM(L14:L22)</f>
        <v>111.07000000000002</v>
      </c>
      <c r="M23" s="59"/>
    </row>
    <row r="24" spans="1:13" ht="16.5" thickBot="1">
      <c r="A24" s="18">
        <f>A6</f>
        <v>1</v>
      </c>
      <c r="B24" s="19">
        <f>B6</f>
        <v>1</v>
      </c>
      <c r="C24" s="105" t="s">
        <v>4</v>
      </c>
      <c r="D24" s="106"/>
      <c r="E24" s="94"/>
      <c r="F24" s="95">
        <f>F13+F23</f>
        <v>1398</v>
      </c>
      <c r="G24" s="95">
        <f t="shared" ref="G24:J24" si="4">G13+G23</f>
        <v>65.451181818181823</v>
      </c>
      <c r="H24" s="95">
        <f t="shared" si="4"/>
        <v>63.242999999999995</v>
      </c>
      <c r="I24" s="95">
        <f t="shared" si="4"/>
        <v>219.77199999999999</v>
      </c>
      <c r="J24" s="95">
        <f t="shared" si="4"/>
        <v>1711.9769999999999</v>
      </c>
      <c r="K24" s="95"/>
      <c r="L24" s="96">
        <f t="shared" ref="L24" si="5">L13+L23</f>
        <v>222.14000000000001</v>
      </c>
      <c r="M24" s="59"/>
    </row>
    <row r="25" spans="1:13" ht="15.75">
      <c r="A25" s="7">
        <v>1</v>
      </c>
      <c r="B25" s="8">
        <v>2</v>
      </c>
      <c r="C25" s="82" t="s">
        <v>20</v>
      </c>
      <c r="D25" s="83" t="s">
        <v>21</v>
      </c>
      <c r="E25" s="37" t="s">
        <v>113</v>
      </c>
      <c r="F25" s="34">
        <v>250</v>
      </c>
      <c r="G25" s="34">
        <f>F25*6.62/250</f>
        <v>6.62</v>
      </c>
      <c r="H25" s="34">
        <f>F25*9.3/250</f>
        <v>9.3000000000000007</v>
      </c>
      <c r="I25" s="34">
        <f>F25*23.8/250</f>
        <v>23.8</v>
      </c>
      <c r="J25" s="34">
        <f>F25*205.6/250</f>
        <v>205.6</v>
      </c>
      <c r="K25" s="76" t="s">
        <v>115</v>
      </c>
      <c r="L25" s="77">
        <v>26.8</v>
      </c>
      <c r="M25" s="59"/>
    </row>
    <row r="26" spans="1:13" ht="15.75">
      <c r="A26" s="7"/>
      <c r="B26" s="8"/>
      <c r="C26" s="84"/>
      <c r="D26" s="85" t="s">
        <v>25</v>
      </c>
      <c r="E26" s="38"/>
      <c r="F26" s="39"/>
      <c r="G26" s="39"/>
      <c r="H26" s="39"/>
      <c r="I26" s="39"/>
      <c r="J26" s="39"/>
      <c r="K26" s="45"/>
      <c r="L26" s="58"/>
      <c r="M26" s="59"/>
    </row>
    <row r="27" spans="1:13" ht="15.75">
      <c r="A27" s="7"/>
      <c r="B27" s="8"/>
      <c r="C27" s="84"/>
      <c r="D27" s="88" t="s">
        <v>22</v>
      </c>
      <c r="E27" s="34" t="s">
        <v>57</v>
      </c>
      <c r="F27" s="34">
        <v>200</v>
      </c>
      <c r="G27" s="34">
        <v>3.5</v>
      </c>
      <c r="H27" s="34">
        <v>3.4</v>
      </c>
      <c r="I27" s="34">
        <v>22.3</v>
      </c>
      <c r="J27" s="34">
        <v>133</v>
      </c>
      <c r="K27" s="78" t="s">
        <v>86</v>
      </c>
      <c r="L27" s="58">
        <v>15.06</v>
      </c>
      <c r="M27" s="59"/>
    </row>
    <row r="28" spans="1:13" ht="15.75">
      <c r="A28" s="7"/>
      <c r="B28" s="8"/>
      <c r="C28" s="84"/>
      <c r="D28" s="88" t="s">
        <v>23</v>
      </c>
      <c r="E28" s="33" t="s">
        <v>40</v>
      </c>
      <c r="F28" s="34">
        <v>30</v>
      </c>
      <c r="G28" s="34">
        <f>SUM(F28*1.68/30)</f>
        <v>1.68</v>
      </c>
      <c r="H28" s="34">
        <f>SUM(F28*0.33/30)</f>
        <v>0.33</v>
      </c>
      <c r="I28" s="34">
        <f>SUM(F28*14.82/30)</f>
        <v>14.82</v>
      </c>
      <c r="J28" s="34">
        <f>SUM(F28*68.97/30)</f>
        <v>68.97</v>
      </c>
      <c r="K28" s="56" t="s">
        <v>69</v>
      </c>
      <c r="L28" s="58">
        <v>2.2999999999999998</v>
      </c>
      <c r="M28" s="59"/>
    </row>
    <row r="29" spans="1:13" ht="15.75">
      <c r="A29" s="7"/>
      <c r="B29" s="8"/>
      <c r="C29" s="84"/>
      <c r="D29" s="88" t="s">
        <v>23</v>
      </c>
      <c r="E29" s="34" t="s">
        <v>65</v>
      </c>
      <c r="F29" s="34">
        <v>60</v>
      </c>
      <c r="G29" s="34">
        <f>SUM(F29*6.1/50)</f>
        <v>7.32</v>
      </c>
      <c r="H29" s="34">
        <f>SUM(F29*3.7/50)</f>
        <v>4.4400000000000004</v>
      </c>
      <c r="I29" s="34">
        <f>SUM(F29*17.5/50)</f>
        <v>21</v>
      </c>
      <c r="J29" s="34">
        <f>SUM(F29*130/50)</f>
        <v>156</v>
      </c>
      <c r="K29" s="56">
        <v>44240</v>
      </c>
      <c r="L29" s="58">
        <v>28.02</v>
      </c>
      <c r="M29" s="59"/>
    </row>
    <row r="30" spans="1:13" ht="15.75">
      <c r="A30" s="7"/>
      <c r="B30" s="8"/>
      <c r="C30" s="84"/>
      <c r="D30" s="85"/>
      <c r="E30" s="38" t="s">
        <v>72</v>
      </c>
      <c r="F30" s="34">
        <v>40</v>
      </c>
      <c r="G30" s="34">
        <v>5.0999999999999996</v>
      </c>
      <c r="H30" s="34">
        <v>4.68</v>
      </c>
      <c r="I30" s="34">
        <v>0.3</v>
      </c>
      <c r="J30" s="34">
        <v>63</v>
      </c>
      <c r="K30" s="56">
        <v>44202</v>
      </c>
      <c r="L30" s="58">
        <v>12.48</v>
      </c>
      <c r="M30" s="59"/>
    </row>
    <row r="31" spans="1:13" ht="15.75">
      <c r="A31" s="7"/>
      <c r="B31" s="8"/>
      <c r="C31" s="84"/>
      <c r="D31" s="85"/>
      <c r="E31" s="35" t="s">
        <v>114</v>
      </c>
      <c r="F31" s="34">
        <v>190</v>
      </c>
      <c r="G31" s="34">
        <v>1</v>
      </c>
      <c r="H31" s="34">
        <v>1</v>
      </c>
      <c r="I31" s="34">
        <v>27.38</v>
      </c>
      <c r="J31" s="34">
        <v>122.5</v>
      </c>
      <c r="K31" s="56" t="s">
        <v>68</v>
      </c>
      <c r="L31" s="58">
        <v>26.41</v>
      </c>
      <c r="M31" s="59"/>
    </row>
    <row r="32" spans="1:13" ht="15.75">
      <c r="A32" s="9"/>
      <c r="B32" s="10"/>
      <c r="C32" s="89"/>
      <c r="D32" s="90" t="s">
        <v>32</v>
      </c>
      <c r="E32" s="91"/>
      <c r="F32" s="60">
        <f>SUM(F25:F31)</f>
        <v>770</v>
      </c>
      <c r="G32" s="60">
        <f t="shared" ref="G32" si="6">SUM(G25:G31)</f>
        <v>25.22</v>
      </c>
      <c r="H32" s="60">
        <f t="shared" ref="H32" si="7">SUM(H25:H31)</f>
        <v>23.150000000000002</v>
      </c>
      <c r="I32" s="60">
        <f t="shared" ref="I32" si="8">SUM(I25:I31)</f>
        <v>109.6</v>
      </c>
      <c r="J32" s="60">
        <f t="shared" ref="J32:L32" si="9">SUM(J25:J31)</f>
        <v>749.07</v>
      </c>
      <c r="K32" s="57"/>
      <c r="L32" s="60">
        <f t="shared" si="9"/>
        <v>111.07</v>
      </c>
      <c r="M32" s="59"/>
    </row>
    <row r="33" spans="1:13" ht="15.75">
      <c r="A33" s="6">
        <f>A25</f>
        <v>1</v>
      </c>
      <c r="B33" s="6">
        <f>B25</f>
        <v>2</v>
      </c>
      <c r="C33" s="93" t="s">
        <v>24</v>
      </c>
      <c r="D33" s="88" t="s">
        <v>25</v>
      </c>
      <c r="E33" s="38" t="s">
        <v>66</v>
      </c>
      <c r="F33" s="34">
        <v>60</v>
      </c>
      <c r="G33" s="34">
        <f>F33*0.5/50</f>
        <v>0.6</v>
      </c>
      <c r="H33" s="34">
        <f>F33*0.1/50</f>
        <v>0.12</v>
      </c>
      <c r="I33" s="34">
        <f>F33*1.9/50</f>
        <v>2.2799999999999998</v>
      </c>
      <c r="J33" s="34">
        <f>F33*11/50</f>
        <v>13.2</v>
      </c>
      <c r="K33" s="78" t="s">
        <v>102</v>
      </c>
      <c r="L33" s="58">
        <v>12.53</v>
      </c>
      <c r="M33" s="59"/>
    </row>
    <row r="34" spans="1:13" ht="31.5">
      <c r="A34" s="7"/>
      <c r="B34" s="8"/>
      <c r="C34" s="84"/>
      <c r="D34" s="88" t="s">
        <v>26</v>
      </c>
      <c r="E34" s="37" t="s">
        <v>48</v>
      </c>
      <c r="F34" s="34">
        <v>200</v>
      </c>
      <c r="G34" s="34">
        <f>F34*1.72/205</f>
        <v>1.6780487804878048</v>
      </c>
      <c r="H34" s="34">
        <f>F34*4.16/205</f>
        <v>4.0585365853658537</v>
      </c>
      <c r="I34" s="34">
        <f>F34*7.6/205</f>
        <v>7.4146341463414638</v>
      </c>
      <c r="J34" s="34">
        <f>F34*75.32/205</f>
        <v>73.48292682926828</v>
      </c>
      <c r="K34" s="56">
        <v>44257</v>
      </c>
      <c r="L34" s="58">
        <v>15.93</v>
      </c>
      <c r="M34" s="59"/>
    </row>
    <row r="35" spans="1:13" ht="15.75">
      <c r="A35" s="7"/>
      <c r="B35" s="8"/>
      <c r="C35" s="84"/>
      <c r="D35" s="88" t="s">
        <v>27</v>
      </c>
      <c r="E35" s="37" t="s">
        <v>49</v>
      </c>
      <c r="F35" s="34">
        <v>90</v>
      </c>
      <c r="G35" s="34">
        <f>F35*13.32/90</f>
        <v>13.32</v>
      </c>
      <c r="H35" s="34">
        <f>F35*11.16/90</f>
        <v>11.16</v>
      </c>
      <c r="I35" s="34">
        <f>F35*8.19/90</f>
        <v>8.19</v>
      </c>
      <c r="J35" s="34">
        <f>F35*186.3/90</f>
        <v>186.3</v>
      </c>
      <c r="K35" s="56">
        <v>44325</v>
      </c>
      <c r="L35" s="58">
        <v>56.15</v>
      </c>
      <c r="M35" s="59"/>
    </row>
    <row r="36" spans="1:13" ht="15.75">
      <c r="A36" s="7"/>
      <c r="B36" s="8"/>
      <c r="C36" s="84"/>
      <c r="D36" s="88" t="s">
        <v>28</v>
      </c>
      <c r="E36" s="34" t="s">
        <v>50</v>
      </c>
      <c r="F36" s="34">
        <v>150</v>
      </c>
      <c r="G36" s="34">
        <f>F36*3.75/150</f>
        <v>3.75</v>
      </c>
      <c r="H36" s="34">
        <f>F36*7.1/150</f>
        <v>7.1</v>
      </c>
      <c r="I36" s="34">
        <f>F36*37.7/150</f>
        <v>37.700000000000003</v>
      </c>
      <c r="J36" s="34">
        <f>F36*230.02/150</f>
        <v>230.02</v>
      </c>
      <c r="K36" s="56">
        <v>38.299999999999997</v>
      </c>
      <c r="L36" s="58">
        <v>9.43</v>
      </c>
      <c r="M36" s="59"/>
    </row>
    <row r="37" spans="1:13" ht="15.75">
      <c r="A37" s="7"/>
      <c r="B37" s="8"/>
      <c r="C37" s="84"/>
      <c r="D37" s="88" t="s">
        <v>29</v>
      </c>
      <c r="E37" s="37" t="s">
        <v>51</v>
      </c>
      <c r="F37" s="34">
        <v>200</v>
      </c>
      <c r="G37" s="34">
        <v>0.4</v>
      </c>
      <c r="H37" s="34">
        <v>0.4</v>
      </c>
      <c r="I37" s="34">
        <v>18.399999999999999</v>
      </c>
      <c r="J37" s="34">
        <v>80</v>
      </c>
      <c r="K37" s="56">
        <v>44265</v>
      </c>
      <c r="L37" s="58">
        <v>10.79</v>
      </c>
      <c r="M37" s="59"/>
    </row>
    <row r="38" spans="1:13" ht="15.75">
      <c r="A38" s="7"/>
      <c r="B38" s="8"/>
      <c r="C38" s="84"/>
      <c r="D38" s="88" t="s">
        <v>30</v>
      </c>
      <c r="E38" s="35" t="s">
        <v>45</v>
      </c>
      <c r="F38" s="34">
        <v>47</v>
      </c>
      <c r="G38" s="34">
        <f>SUM(F38*2.37/30)</f>
        <v>3.7130000000000001</v>
      </c>
      <c r="H38" s="34">
        <f>SUM(F38*0.3/30)</f>
        <v>0.47</v>
      </c>
      <c r="I38" s="34">
        <f>SUM(F38*14.49/30)</f>
        <v>22.701000000000001</v>
      </c>
      <c r="J38" s="34">
        <f>SUM(F38*70.14/30)</f>
        <v>109.886</v>
      </c>
      <c r="K38" s="56" t="s">
        <v>68</v>
      </c>
      <c r="L38" s="58">
        <v>3.94</v>
      </c>
      <c r="M38" s="59"/>
    </row>
    <row r="39" spans="1:13" ht="15.75">
      <c r="A39" s="7"/>
      <c r="B39" s="8"/>
      <c r="C39" s="84"/>
      <c r="D39" s="88" t="s">
        <v>31</v>
      </c>
      <c r="E39" s="33" t="s">
        <v>40</v>
      </c>
      <c r="F39" s="34">
        <v>30</v>
      </c>
      <c r="G39" s="34">
        <f>SUM(F39*1.68/30)</f>
        <v>1.68</v>
      </c>
      <c r="H39" s="34">
        <f>SUM(F39*0.33/30)</f>
        <v>0.33</v>
      </c>
      <c r="I39" s="34">
        <f>SUM(F39*14.82/30)</f>
        <v>14.82</v>
      </c>
      <c r="J39" s="34">
        <f>SUM(F39*68.97/30)</f>
        <v>68.97</v>
      </c>
      <c r="K39" s="56" t="s">
        <v>68</v>
      </c>
      <c r="L39" s="58">
        <v>2.2999999999999998</v>
      </c>
      <c r="M39" s="59"/>
    </row>
    <row r="40" spans="1:13" ht="15.75">
      <c r="A40" s="7"/>
      <c r="B40" s="8"/>
      <c r="C40" s="84"/>
      <c r="D40" s="85"/>
      <c r="E40" s="86"/>
      <c r="F40" s="58"/>
      <c r="G40" s="58"/>
      <c r="H40" s="58"/>
      <c r="I40" s="58"/>
      <c r="J40" s="58"/>
      <c r="K40" s="56"/>
      <c r="L40" s="58"/>
      <c r="M40" s="59"/>
    </row>
    <row r="41" spans="1:13" ht="15.75">
      <c r="A41" s="7"/>
      <c r="B41" s="8"/>
      <c r="C41" s="84"/>
      <c r="D41" s="85"/>
      <c r="E41" s="86"/>
      <c r="F41" s="58"/>
      <c r="G41" s="58"/>
      <c r="H41" s="58"/>
      <c r="I41" s="58"/>
      <c r="J41" s="58"/>
      <c r="K41" s="56"/>
      <c r="L41" s="58"/>
      <c r="M41" s="59"/>
    </row>
    <row r="42" spans="1:13" ht="15.75">
      <c r="A42" s="9"/>
      <c r="B42" s="10"/>
      <c r="C42" s="89"/>
      <c r="D42" s="90" t="s">
        <v>32</v>
      </c>
      <c r="E42" s="91"/>
      <c r="F42" s="60">
        <f>SUM(F33:F41)</f>
        <v>777</v>
      </c>
      <c r="G42" s="60">
        <f t="shared" ref="G42" si="10">SUM(G33:G41)</f>
        <v>25.141048780487804</v>
      </c>
      <c r="H42" s="60">
        <f t="shared" ref="H42" si="11">SUM(H33:H41)</f>
        <v>23.638536585365848</v>
      </c>
      <c r="I42" s="60">
        <f t="shared" ref="I42" si="12">SUM(I33:I41)</f>
        <v>111.50563414634146</v>
      </c>
      <c r="J42" s="60">
        <f t="shared" ref="J42:L42" si="13">SUM(J33:J41)</f>
        <v>761.85892682926828</v>
      </c>
      <c r="K42" s="57"/>
      <c r="L42" s="60">
        <f t="shared" si="13"/>
        <v>111.06999999999998</v>
      </c>
      <c r="M42" s="59"/>
    </row>
    <row r="43" spans="1:13" ht="15.75" customHeight="1" thickBot="1">
      <c r="A43" s="20">
        <f>A25</f>
        <v>1</v>
      </c>
      <c r="B43" s="20">
        <f>B25</f>
        <v>2</v>
      </c>
      <c r="C43" s="105" t="s">
        <v>4</v>
      </c>
      <c r="D43" s="106"/>
      <c r="E43" s="94"/>
      <c r="F43" s="96">
        <f>F32+F42</f>
        <v>1547</v>
      </c>
      <c r="G43" s="96">
        <f t="shared" ref="G43" si="14">G32+G42</f>
        <v>50.361048780487806</v>
      </c>
      <c r="H43" s="96">
        <f t="shared" ref="H43" si="15">H32+H42</f>
        <v>46.788536585365847</v>
      </c>
      <c r="I43" s="96">
        <f t="shared" ref="I43" si="16">I32+I42</f>
        <v>221.10563414634146</v>
      </c>
      <c r="J43" s="96">
        <f t="shared" ref="J43:L43" si="17">J32+J42</f>
        <v>1510.9289268292682</v>
      </c>
      <c r="K43" s="95"/>
      <c r="L43" s="96">
        <f t="shared" si="17"/>
        <v>222.14</v>
      </c>
      <c r="M43" s="59"/>
    </row>
    <row r="44" spans="1:13" ht="15.75">
      <c r="A44" s="11">
        <v>1</v>
      </c>
      <c r="B44" s="12">
        <v>3</v>
      </c>
      <c r="C44" s="82" t="s">
        <v>20</v>
      </c>
      <c r="D44" s="83" t="s">
        <v>21</v>
      </c>
      <c r="E44" s="69" t="s">
        <v>116</v>
      </c>
      <c r="F44" s="34">
        <v>200</v>
      </c>
      <c r="G44" s="34">
        <f>F44*19.5/200</f>
        <v>19.5</v>
      </c>
      <c r="H44" s="34">
        <f>F44*21.2/200</f>
        <v>21.2</v>
      </c>
      <c r="I44" s="34">
        <f>F44*3.4/200</f>
        <v>3.4</v>
      </c>
      <c r="J44" s="34">
        <f>F44*282/200</f>
        <v>282</v>
      </c>
      <c r="K44" s="55">
        <v>44233</v>
      </c>
      <c r="L44" s="77">
        <v>59.89</v>
      </c>
      <c r="M44" s="59"/>
    </row>
    <row r="45" spans="1:13" ht="15.75">
      <c r="A45" s="13"/>
      <c r="B45" s="8"/>
      <c r="C45" s="84"/>
      <c r="D45" s="85" t="s">
        <v>28</v>
      </c>
      <c r="E45" s="40"/>
      <c r="F45" s="39"/>
      <c r="G45" s="39"/>
      <c r="H45" s="39"/>
      <c r="I45" s="39"/>
      <c r="J45" s="39"/>
      <c r="K45" s="56"/>
      <c r="L45" s="58"/>
      <c r="M45" s="59"/>
    </row>
    <row r="46" spans="1:13" ht="15.75">
      <c r="A46" s="13"/>
      <c r="B46" s="8"/>
      <c r="C46" s="84"/>
      <c r="D46" s="88" t="s">
        <v>22</v>
      </c>
      <c r="E46" s="34" t="s">
        <v>117</v>
      </c>
      <c r="F46" s="34">
        <v>200</v>
      </c>
      <c r="G46" s="34">
        <v>0.5</v>
      </c>
      <c r="H46" s="34">
        <v>0.1</v>
      </c>
      <c r="I46" s="34">
        <v>14.8</v>
      </c>
      <c r="J46" s="34">
        <v>61</v>
      </c>
      <c r="K46" s="78" t="s">
        <v>119</v>
      </c>
      <c r="L46" s="58">
        <v>3.18</v>
      </c>
      <c r="M46" s="59"/>
    </row>
    <row r="47" spans="1:13" ht="15.75">
      <c r="A47" s="13"/>
      <c r="B47" s="8"/>
      <c r="C47" s="84"/>
      <c r="D47" s="88" t="s">
        <v>23</v>
      </c>
      <c r="E47" s="33" t="s">
        <v>40</v>
      </c>
      <c r="F47" s="34">
        <v>38</v>
      </c>
      <c r="G47" s="34">
        <f>SUM(F47*1.68/30)</f>
        <v>2.1279999999999997</v>
      </c>
      <c r="H47" s="34">
        <f>SUM(F47*0.33/30)</f>
        <v>0.41800000000000004</v>
      </c>
      <c r="I47" s="34">
        <f>SUM(F47*14.82/30)</f>
        <v>18.771999999999998</v>
      </c>
      <c r="J47" s="34">
        <f>SUM(F47*68.97/30)</f>
        <v>87.362000000000009</v>
      </c>
      <c r="K47" s="56" t="s">
        <v>68</v>
      </c>
      <c r="L47" s="58">
        <v>2.86</v>
      </c>
      <c r="M47" s="59"/>
    </row>
    <row r="48" spans="1:13" ht="15.75">
      <c r="A48" s="13"/>
      <c r="B48" s="8"/>
      <c r="C48" s="84"/>
      <c r="D48" s="88"/>
      <c r="E48" s="34" t="s">
        <v>65</v>
      </c>
      <c r="F48" s="34">
        <v>60</v>
      </c>
      <c r="G48" s="34">
        <f>SUM(F48*6.1/50)</f>
        <v>7.32</v>
      </c>
      <c r="H48" s="34">
        <f>SUM(F48*3.7/50)</f>
        <v>4.4400000000000004</v>
      </c>
      <c r="I48" s="34">
        <f>SUM(F48*17.5/50)</f>
        <v>21</v>
      </c>
      <c r="J48" s="34">
        <f>SUM(F48*130/50)</f>
        <v>156</v>
      </c>
      <c r="K48" s="56">
        <v>44240</v>
      </c>
      <c r="L48" s="58">
        <v>28.02</v>
      </c>
      <c r="M48" s="59"/>
    </row>
    <row r="49" spans="1:13" ht="15.75">
      <c r="A49" s="13"/>
      <c r="B49" s="8"/>
      <c r="C49" s="84"/>
      <c r="D49" s="85"/>
      <c r="E49" s="34" t="s">
        <v>118</v>
      </c>
      <c r="F49" s="34">
        <v>35</v>
      </c>
      <c r="G49" s="34">
        <f>F49*1.5/50</f>
        <v>1.05</v>
      </c>
      <c r="H49" s="34">
        <f>F49*2.05/50</f>
        <v>1.4350000000000001</v>
      </c>
      <c r="I49" s="34">
        <f>F49*3.2/50</f>
        <v>2.2400000000000002</v>
      </c>
      <c r="J49" s="34">
        <f>F49*37.5/50</f>
        <v>26.25</v>
      </c>
      <c r="K49" s="56">
        <v>445</v>
      </c>
      <c r="L49" s="58">
        <v>17.12</v>
      </c>
      <c r="M49" s="59"/>
    </row>
    <row r="50" spans="1:13" ht="15.75">
      <c r="A50" s="13"/>
      <c r="B50" s="8"/>
      <c r="C50" s="84"/>
      <c r="D50" s="85"/>
      <c r="E50" s="86"/>
      <c r="F50" s="58"/>
      <c r="G50" s="58"/>
      <c r="H50" s="58"/>
      <c r="I50" s="58"/>
      <c r="J50" s="58"/>
      <c r="K50" s="56"/>
      <c r="L50" s="58"/>
      <c r="M50" s="59"/>
    </row>
    <row r="51" spans="1:13" ht="15.75">
      <c r="A51" s="14"/>
      <c r="B51" s="10"/>
      <c r="C51" s="89"/>
      <c r="D51" s="90" t="s">
        <v>32</v>
      </c>
      <c r="E51" s="91"/>
      <c r="F51" s="60">
        <f>SUM(F44:F50)</f>
        <v>533</v>
      </c>
      <c r="G51" s="60">
        <f t="shared" ref="G51" si="18">SUM(G44:G50)</f>
        <v>30.498000000000001</v>
      </c>
      <c r="H51" s="60">
        <f t="shared" ref="H51" si="19">SUM(H44:H50)</f>
        <v>27.593</v>
      </c>
      <c r="I51" s="60">
        <f t="shared" ref="I51" si="20">SUM(I44:I50)</f>
        <v>60.211999999999996</v>
      </c>
      <c r="J51" s="60">
        <f t="shared" ref="J51:L51" si="21">SUM(J44:J50)</f>
        <v>612.61200000000008</v>
      </c>
      <c r="K51" s="57"/>
      <c r="L51" s="60">
        <f t="shared" si="21"/>
        <v>111.07000000000001</v>
      </c>
      <c r="M51" s="59"/>
    </row>
    <row r="52" spans="1:13" ht="31.5">
      <c r="A52" s="15">
        <f>A44</f>
        <v>1</v>
      </c>
      <c r="B52" s="6">
        <f>B44</f>
        <v>3</v>
      </c>
      <c r="C52" s="93" t="s">
        <v>24</v>
      </c>
      <c r="D52" s="88" t="s">
        <v>25</v>
      </c>
      <c r="E52" s="37" t="s">
        <v>120</v>
      </c>
      <c r="F52" s="34">
        <v>60</v>
      </c>
      <c r="G52" s="34">
        <f>F52*0.5/50</f>
        <v>0.6</v>
      </c>
      <c r="H52" s="34">
        <f>F52*5/50</f>
        <v>6</v>
      </c>
      <c r="I52" s="34">
        <f>F52*8.48/50</f>
        <v>10.176</v>
      </c>
      <c r="J52" s="34">
        <v>97.12</v>
      </c>
      <c r="K52" s="79" t="s">
        <v>121</v>
      </c>
      <c r="L52" s="58">
        <v>5.08</v>
      </c>
      <c r="M52" s="59"/>
    </row>
    <row r="53" spans="1:13" ht="31.5">
      <c r="A53" s="13"/>
      <c r="B53" s="8"/>
      <c r="C53" s="84"/>
      <c r="D53" s="88" t="s">
        <v>26</v>
      </c>
      <c r="E53" s="41" t="s">
        <v>53</v>
      </c>
      <c r="F53" s="34">
        <v>200</v>
      </c>
      <c r="G53" s="34">
        <f>F53*1.9/250+0.2+1.6</f>
        <v>3.3200000000000003</v>
      </c>
      <c r="H53" s="34">
        <f>F53*4.1/250+1.7</f>
        <v>4.9799999999999995</v>
      </c>
      <c r="I53" s="34">
        <f>F53*8/250+0.4+1</f>
        <v>7.8000000000000007</v>
      </c>
      <c r="J53" s="34">
        <f>F53*77/250+3+24</f>
        <v>88.6</v>
      </c>
      <c r="K53" s="79">
        <v>44379</v>
      </c>
      <c r="L53" s="58">
        <v>19.84</v>
      </c>
      <c r="M53" s="59"/>
    </row>
    <row r="54" spans="1:13" ht="15.75">
      <c r="A54" s="13"/>
      <c r="B54" s="8"/>
      <c r="C54" s="84"/>
      <c r="D54" s="88" t="s">
        <v>27</v>
      </c>
      <c r="E54" s="40" t="s">
        <v>54</v>
      </c>
      <c r="F54" s="34">
        <v>150</v>
      </c>
      <c r="G54" s="34">
        <f>F54*6.63/150</f>
        <v>6.63</v>
      </c>
      <c r="H54" s="34">
        <f>F54*4.44/150</f>
        <v>4.4400000000000004</v>
      </c>
      <c r="I54" s="34">
        <f>F54*28.8/150</f>
        <v>28.8</v>
      </c>
      <c r="J54" s="34">
        <f>F54*181.5/150</f>
        <v>181.5</v>
      </c>
      <c r="K54" s="79" t="s">
        <v>91</v>
      </c>
      <c r="L54" s="58">
        <v>7.69</v>
      </c>
      <c r="M54" s="59"/>
    </row>
    <row r="55" spans="1:13" ht="15.75">
      <c r="A55" s="13"/>
      <c r="B55" s="8"/>
      <c r="C55" s="84"/>
      <c r="D55" s="88" t="s">
        <v>28</v>
      </c>
      <c r="E55" s="41" t="s">
        <v>55</v>
      </c>
      <c r="F55" s="34">
        <v>90</v>
      </c>
      <c r="G55" s="34">
        <f>F55*10.44/90</f>
        <v>10.44</v>
      </c>
      <c r="H55" s="34">
        <f>F55*10.9/90</f>
        <v>10.9</v>
      </c>
      <c r="I55" s="34">
        <f>F55*10.07/90</f>
        <v>10.07</v>
      </c>
      <c r="J55" s="34">
        <f>F55*180.14/90</f>
        <v>180.14</v>
      </c>
      <c r="K55" s="79">
        <v>44236</v>
      </c>
      <c r="L55" s="58">
        <v>60.37</v>
      </c>
      <c r="M55" s="59"/>
    </row>
    <row r="56" spans="1:13" ht="15.75">
      <c r="A56" s="13"/>
      <c r="B56" s="8"/>
      <c r="C56" s="84"/>
      <c r="D56" s="88" t="s">
        <v>29</v>
      </c>
      <c r="E56" s="40" t="s">
        <v>56</v>
      </c>
      <c r="F56" s="34">
        <v>200</v>
      </c>
      <c r="G56" s="34">
        <v>0</v>
      </c>
      <c r="H56" s="34">
        <v>0</v>
      </c>
      <c r="I56" s="34">
        <v>12</v>
      </c>
      <c r="J56" s="34">
        <v>48</v>
      </c>
      <c r="K56" s="79" t="s">
        <v>99</v>
      </c>
      <c r="L56" s="58">
        <v>11.74</v>
      </c>
      <c r="M56" s="59"/>
    </row>
    <row r="57" spans="1:13" ht="15.75">
      <c r="A57" s="13"/>
      <c r="B57" s="8"/>
      <c r="C57" s="84"/>
      <c r="D57" s="88" t="s">
        <v>30</v>
      </c>
      <c r="E57" s="35" t="s">
        <v>45</v>
      </c>
      <c r="F57" s="34">
        <v>35</v>
      </c>
      <c r="G57" s="34">
        <f>SUM(F57*2.37/30)</f>
        <v>2.7650000000000001</v>
      </c>
      <c r="H57" s="34">
        <f>SUM(F57*0.3/30)</f>
        <v>0.35</v>
      </c>
      <c r="I57" s="34">
        <f>SUM(F57*14.49/30)</f>
        <v>16.905000000000001</v>
      </c>
      <c r="J57" s="34">
        <f>SUM(F57*70.14/30)</f>
        <v>81.83</v>
      </c>
      <c r="K57" s="78" t="s">
        <v>68</v>
      </c>
      <c r="L57" s="58">
        <v>4.05</v>
      </c>
      <c r="M57" s="59"/>
    </row>
    <row r="58" spans="1:13" ht="15.75">
      <c r="A58" s="13"/>
      <c r="B58" s="8"/>
      <c r="C58" s="84"/>
      <c r="D58" s="88" t="s">
        <v>31</v>
      </c>
      <c r="E58" s="33" t="s">
        <v>40</v>
      </c>
      <c r="F58" s="34">
        <v>30</v>
      </c>
      <c r="G58" s="34">
        <f>SUM(F58*1.68/30)</f>
        <v>1.68</v>
      </c>
      <c r="H58" s="34">
        <f>SUM(F58*0.33/30)</f>
        <v>0.33</v>
      </c>
      <c r="I58" s="34">
        <f>SUM(F58*14.82/30)</f>
        <v>14.82</v>
      </c>
      <c r="J58" s="34">
        <f>SUM(F58*68.97/30)</f>
        <v>68.97</v>
      </c>
      <c r="K58" s="78" t="s">
        <v>68</v>
      </c>
      <c r="L58" s="58">
        <v>2.2999999999999998</v>
      </c>
      <c r="M58" s="59"/>
    </row>
    <row r="59" spans="1:13" ht="15.75">
      <c r="A59" s="13"/>
      <c r="B59" s="8"/>
      <c r="C59" s="84"/>
      <c r="D59" s="85"/>
      <c r="E59" s="86"/>
      <c r="F59" s="58"/>
      <c r="G59" s="58"/>
      <c r="H59" s="58"/>
      <c r="I59" s="58"/>
      <c r="J59" s="58"/>
      <c r="K59" s="56"/>
      <c r="L59" s="58"/>
      <c r="M59" s="59"/>
    </row>
    <row r="60" spans="1:13" ht="15.75">
      <c r="A60" s="13"/>
      <c r="B60" s="8"/>
      <c r="C60" s="84"/>
      <c r="D60" s="85"/>
      <c r="E60" s="86"/>
      <c r="F60" s="58"/>
      <c r="G60" s="58"/>
      <c r="H60" s="58"/>
      <c r="I60" s="58"/>
      <c r="J60" s="58"/>
      <c r="K60" s="56"/>
      <c r="L60" s="58"/>
      <c r="M60" s="59"/>
    </row>
    <row r="61" spans="1:13" ht="15.75">
      <c r="A61" s="14"/>
      <c r="B61" s="10"/>
      <c r="C61" s="89"/>
      <c r="D61" s="90" t="s">
        <v>32</v>
      </c>
      <c r="E61" s="91"/>
      <c r="F61" s="60">
        <f>SUM(F52:F60)</f>
        <v>765</v>
      </c>
      <c r="G61" s="60">
        <f t="shared" ref="G61" si="22">SUM(G52:G60)</f>
        <v>25.435000000000002</v>
      </c>
      <c r="H61" s="60">
        <f t="shared" ref="H61" si="23">SUM(H52:H60)</f>
        <v>27</v>
      </c>
      <c r="I61" s="60">
        <f t="shared" ref="I61" si="24">SUM(I52:I60)</f>
        <v>100.571</v>
      </c>
      <c r="J61" s="60">
        <f t="shared" ref="J61:L61" si="25">SUM(J52:J60)</f>
        <v>746.16000000000008</v>
      </c>
      <c r="K61" s="57"/>
      <c r="L61" s="60">
        <f t="shared" si="25"/>
        <v>111.06999999999998</v>
      </c>
      <c r="M61" s="59"/>
    </row>
    <row r="62" spans="1:13" ht="15.75" customHeight="1" thickBot="1">
      <c r="A62" s="18">
        <f>A44</f>
        <v>1</v>
      </c>
      <c r="B62" s="19">
        <f>B44</f>
        <v>3</v>
      </c>
      <c r="C62" s="105" t="s">
        <v>4</v>
      </c>
      <c r="D62" s="106"/>
      <c r="E62" s="94"/>
      <c r="F62" s="96">
        <f>F51+F61</f>
        <v>1298</v>
      </c>
      <c r="G62" s="96">
        <f t="shared" ref="G62" si="26">G51+G61</f>
        <v>55.933000000000007</v>
      </c>
      <c r="H62" s="96">
        <f t="shared" ref="H62" si="27">H51+H61</f>
        <v>54.593000000000004</v>
      </c>
      <c r="I62" s="96">
        <f t="shared" ref="I62" si="28">I51+I61</f>
        <v>160.78299999999999</v>
      </c>
      <c r="J62" s="96">
        <f t="shared" ref="J62:L62" si="29">J51+J61</f>
        <v>1358.7720000000002</v>
      </c>
      <c r="K62" s="95"/>
      <c r="L62" s="96">
        <f t="shared" si="29"/>
        <v>222.14</v>
      </c>
      <c r="M62" s="59"/>
    </row>
    <row r="63" spans="1:13" ht="15.75">
      <c r="A63" s="11">
        <v>1</v>
      </c>
      <c r="B63" s="12">
        <v>4</v>
      </c>
      <c r="C63" s="82" t="s">
        <v>20</v>
      </c>
      <c r="D63" s="83" t="s">
        <v>21</v>
      </c>
      <c r="E63" s="41" t="s">
        <v>62</v>
      </c>
      <c r="F63" s="34">
        <v>90</v>
      </c>
      <c r="G63" s="34">
        <v>17.190000000000001</v>
      </c>
      <c r="H63" s="34">
        <v>14.31</v>
      </c>
      <c r="I63" s="34">
        <v>0.18</v>
      </c>
      <c r="J63" s="34">
        <v>198</v>
      </c>
      <c r="K63" s="55">
        <v>4232</v>
      </c>
      <c r="L63" s="80">
        <v>55.38</v>
      </c>
      <c r="M63" s="59"/>
    </row>
    <row r="64" spans="1:13" ht="15.75">
      <c r="A64" s="13"/>
      <c r="B64" s="8"/>
      <c r="C64" s="84"/>
      <c r="D64" s="85" t="s">
        <v>28</v>
      </c>
      <c r="E64" s="35" t="s">
        <v>122</v>
      </c>
      <c r="F64" s="34">
        <v>200</v>
      </c>
      <c r="G64" s="34">
        <f>F64*8.97/250</f>
        <v>7.176000000000001</v>
      </c>
      <c r="H64" s="34">
        <f>F64*10.87/250</f>
        <v>8.6959999999999997</v>
      </c>
      <c r="I64" s="34">
        <f>F64*35.57/250</f>
        <v>28.456</v>
      </c>
      <c r="J64" s="34">
        <f>F64*275.72/250</f>
        <v>220.57600000000002</v>
      </c>
      <c r="K64" s="56">
        <v>44320</v>
      </c>
      <c r="L64" s="81">
        <v>21.12</v>
      </c>
      <c r="M64" s="59"/>
    </row>
    <row r="65" spans="1:13" ht="15.75">
      <c r="A65" s="13"/>
      <c r="B65" s="8"/>
      <c r="C65" s="84"/>
      <c r="D65" s="88" t="s">
        <v>22</v>
      </c>
      <c r="E65" s="33" t="s">
        <v>123</v>
      </c>
      <c r="F65" s="34">
        <v>200</v>
      </c>
      <c r="G65" s="34">
        <v>1.5</v>
      </c>
      <c r="H65" s="34">
        <v>1.6</v>
      </c>
      <c r="I65" s="34">
        <v>12.1</v>
      </c>
      <c r="J65" s="34">
        <v>69</v>
      </c>
      <c r="K65" s="78">
        <v>45230</v>
      </c>
      <c r="L65" s="81">
        <v>8.98</v>
      </c>
      <c r="M65" s="59"/>
    </row>
    <row r="66" spans="1:13" ht="15.75">
      <c r="A66" s="13"/>
      <c r="B66" s="8"/>
      <c r="C66" s="84"/>
      <c r="D66" s="88" t="s">
        <v>64</v>
      </c>
      <c r="E66" s="33" t="s">
        <v>40</v>
      </c>
      <c r="F66" s="34">
        <v>46</v>
      </c>
      <c r="G66" s="34">
        <f>SUM(F66*1.68/30)</f>
        <v>2.5760000000000001</v>
      </c>
      <c r="H66" s="34">
        <f>SUM(F66*0.33/30)</f>
        <v>0.50600000000000001</v>
      </c>
      <c r="I66" s="34">
        <f>SUM(F66*14.82/30)</f>
        <v>22.724</v>
      </c>
      <c r="J66" s="34">
        <f>SUM(F66*68.97/30)</f>
        <v>105.75399999999999</v>
      </c>
      <c r="K66" s="56" t="s">
        <v>68</v>
      </c>
      <c r="L66" s="58">
        <v>3.52</v>
      </c>
      <c r="M66" s="59"/>
    </row>
    <row r="67" spans="1:13" ht="15.75">
      <c r="A67" s="13"/>
      <c r="B67" s="8"/>
      <c r="C67" s="84"/>
      <c r="D67" s="88" t="s">
        <v>125</v>
      </c>
      <c r="E67" s="41" t="s">
        <v>124</v>
      </c>
      <c r="F67" s="50">
        <v>60</v>
      </c>
      <c r="G67" s="34">
        <f>F67*3.25/50</f>
        <v>3.9</v>
      </c>
      <c r="H67" s="34">
        <f>F67*6.4/50</f>
        <v>7.68</v>
      </c>
      <c r="I67" s="34">
        <f>F67*19.6/50</f>
        <v>23.52</v>
      </c>
      <c r="J67" s="34">
        <f>F67*149/50</f>
        <v>178.8</v>
      </c>
      <c r="K67" s="56">
        <v>44268</v>
      </c>
      <c r="L67" s="58">
        <v>22.07</v>
      </c>
      <c r="M67" s="59"/>
    </row>
    <row r="68" spans="1:13" ht="15.75">
      <c r="A68" s="13"/>
      <c r="B68" s="8"/>
      <c r="C68" s="84"/>
      <c r="D68" s="85" t="s">
        <v>25</v>
      </c>
      <c r="E68" s="38"/>
      <c r="F68" s="39"/>
      <c r="G68" s="39"/>
      <c r="H68" s="39"/>
      <c r="I68" s="39"/>
      <c r="J68" s="39"/>
      <c r="K68" s="56"/>
      <c r="L68" s="58"/>
      <c r="M68" s="59"/>
    </row>
    <row r="69" spans="1:13" ht="15.75">
      <c r="A69" s="13"/>
      <c r="B69" s="8"/>
      <c r="C69" s="84"/>
      <c r="D69" s="85"/>
      <c r="E69" s="86"/>
      <c r="F69" s="58"/>
      <c r="G69" s="58"/>
      <c r="H69" s="58"/>
      <c r="I69" s="58"/>
      <c r="J69" s="58"/>
      <c r="K69" s="56"/>
      <c r="L69" s="58"/>
      <c r="M69" s="59"/>
    </row>
    <row r="70" spans="1:13" ht="15.75">
      <c r="A70" s="14"/>
      <c r="B70" s="10"/>
      <c r="C70" s="89"/>
      <c r="D70" s="90" t="s">
        <v>32</v>
      </c>
      <c r="E70" s="91"/>
      <c r="F70" s="60">
        <f>SUM(F63:F69)</f>
        <v>596</v>
      </c>
      <c r="G70" s="60">
        <f t="shared" ref="G70" si="30">SUM(G63:G69)</f>
        <v>32.342000000000006</v>
      </c>
      <c r="H70" s="60">
        <f t="shared" ref="H70" si="31">SUM(H63:H69)</f>
        <v>32.792000000000002</v>
      </c>
      <c r="I70" s="60">
        <f t="shared" ref="I70" si="32">SUM(I63:I69)</f>
        <v>86.97999999999999</v>
      </c>
      <c r="J70" s="60">
        <f t="shared" ref="J70:L70" si="33">SUM(J63:J69)</f>
        <v>772.13000000000011</v>
      </c>
      <c r="K70" s="57"/>
      <c r="L70" s="60">
        <f t="shared" si="33"/>
        <v>111.07</v>
      </c>
      <c r="M70" s="59"/>
    </row>
    <row r="71" spans="1:13" ht="31.5">
      <c r="A71" s="15">
        <f>A63</f>
        <v>1</v>
      </c>
      <c r="B71" s="6">
        <f>B63</f>
        <v>4</v>
      </c>
      <c r="C71" s="93" t="s">
        <v>24</v>
      </c>
      <c r="D71" s="88" t="s">
        <v>25</v>
      </c>
      <c r="E71" s="41" t="s">
        <v>126</v>
      </c>
      <c r="F71" s="34">
        <v>60</v>
      </c>
      <c r="G71" s="34">
        <f>F71*0.6/50</f>
        <v>0.72</v>
      </c>
      <c r="H71" s="34">
        <f>F71*5/50</f>
        <v>6</v>
      </c>
      <c r="I71" s="34">
        <f>F71*1.9/50</f>
        <v>2.2799999999999998</v>
      </c>
      <c r="J71" s="34">
        <f>F71*57/50</f>
        <v>68.400000000000006</v>
      </c>
      <c r="K71" s="78" t="s">
        <v>127</v>
      </c>
      <c r="L71" s="58">
        <v>15.18</v>
      </c>
      <c r="M71" s="59"/>
    </row>
    <row r="72" spans="1:13" ht="15.75">
      <c r="A72" s="13"/>
      <c r="B72" s="8"/>
      <c r="C72" s="84"/>
      <c r="D72" s="88" t="s">
        <v>26</v>
      </c>
      <c r="E72" s="43" t="s">
        <v>58</v>
      </c>
      <c r="F72" s="34">
        <v>200</v>
      </c>
      <c r="G72" s="39">
        <f>F72*2.5/250+0.2+1.6</f>
        <v>3.8000000000000003</v>
      </c>
      <c r="H72" s="39">
        <f>F72*5.4/250+1.7</f>
        <v>6.0200000000000005</v>
      </c>
      <c r="I72" s="39">
        <f>F72*16.6/250+0.4</f>
        <v>13.680000000000001</v>
      </c>
      <c r="J72" s="39">
        <f>F72*125/250+3+22</f>
        <v>125</v>
      </c>
      <c r="K72" s="56">
        <v>44502</v>
      </c>
      <c r="L72" s="58">
        <v>25.12</v>
      </c>
      <c r="M72" s="59"/>
    </row>
    <row r="73" spans="1:13" ht="15.75">
      <c r="A73" s="13"/>
      <c r="B73" s="8"/>
      <c r="C73" s="84"/>
      <c r="D73" s="88" t="s">
        <v>27</v>
      </c>
      <c r="E73" s="41" t="s">
        <v>59</v>
      </c>
      <c r="F73" s="34">
        <v>100</v>
      </c>
      <c r="G73" s="39">
        <f>F73*13.1/130</f>
        <v>10.076923076923077</v>
      </c>
      <c r="H73" s="39">
        <f>F73*9.2/130</f>
        <v>7.0769230769230758</v>
      </c>
      <c r="I73" s="39">
        <f>F73*11.8/130</f>
        <v>9.0769230769230766</v>
      </c>
      <c r="J73" s="39">
        <f>F73*183/130</f>
        <v>140.76923076923077</v>
      </c>
      <c r="K73" s="56">
        <v>18.7</v>
      </c>
      <c r="L73" s="58">
        <v>45.5</v>
      </c>
      <c r="M73" s="59"/>
    </row>
    <row r="74" spans="1:13" ht="15.75">
      <c r="A74" s="13"/>
      <c r="B74" s="8"/>
      <c r="C74" s="84"/>
      <c r="D74" s="88" t="s">
        <v>28</v>
      </c>
      <c r="E74" s="40" t="s">
        <v>60</v>
      </c>
      <c r="F74" s="34">
        <v>150</v>
      </c>
      <c r="G74" s="34">
        <f>F74*3.15/150</f>
        <v>3.15</v>
      </c>
      <c r="H74" s="34">
        <f>F74*3.67/150</f>
        <v>3.67</v>
      </c>
      <c r="I74" s="34">
        <f>F74*20.4/150</f>
        <v>20.399999999999999</v>
      </c>
      <c r="J74" s="39">
        <f>F74*127.5/150</f>
        <v>127.5</v>
      </c>
      <c r="K74" s="56">
        <v>44258</v>
      </c>
      <c r="L74" s="58">
        <v>13.2</v>
      </c>
      <c r="M74" s="59"/>
    </row>
    <row r="75" spans="1:13" ht="15.75">
      <c r="A75" s="13"/>
      <c r="B75" s="8"/>
      <c r="C75" s="84"/>
      <c r="D75" s="88" t="s">
        <v>29</v>
      </c>
      <c r="E75" s="40" t="s">
        <v>61</v>
      </c>
      <c r="F75" s="34">
        <v>200</v>
      </c>
      <c r="G75" s="34">
        <v>0</v>
      </c>
      <c r="H75" s="34">
        <v>0</v>
      </c>
      <c r="I75" s="34">
        <v>27.8</v>
      </c>
      <c r="J75" s="34">
        <v>111</v>
      </c>
      <c r="K75" s="56">
        <v>948</v>
      </c>
      <c r="L75" s="58">
        <v>5.39</v>
      </c>
      <c r="M75" s="59"/>
    </row>
    <row r="76" spans="1:13" ht="15.75">
      <c r="A76" s="13"/>
      <c r="B76" s="8"/>
      <c r="C76" s="84"/>
      <c r="D76" s="88" t="s">
        <v>30</v>
      </c>
      <c r="E76" s="35" t="s">
        <v>45</v>
      </c>
      <c r="F76" s="34">
        <v>50</v>
      </c>
      <c r="G76" s="34">
        <f>SUM(F76*2.37/30)</f>
        <v>3.95</v>
      </c>
      <c r="H76" s="34">
        <f>SUM(F76*0.3/30)</f>
        <v>0.5</v>
      </c>
      <c r="I76" s="34">
        <f>SUM(F76*14.49/30)</f>
        <v>24.15</v>
      </c>
      <c r="J76" s="34">
        <f>SUM(F76*70.14/30)</f>
        <v>116.9</v>
      </c>
      <c r="K76" s="56" t="s">
        <v>68</v>
      </c>
      <c r="L76" s="58">
        <v>4.1500000000000004</v>
      </c>
      <c r="M76" s="59"/>
    </row>
    <row r="77" spans="1:13" ht="15.75">
      <c r="A77" s="13"/>
      <c r="B77" s="8"/>
      <c r="C77" s="84"/>
      <c r="D77" s="88" t="s">
        <v>31</v>
      </c>
      <c r="E77" s="33" t="s">
        <v>40</v>
      </c>
      <c r="F77" s="34">
        <v>33</v>
      </c>
      <c r="G77" s="34">
        <f>SUM(F77*1.68/30)</f>
        <v>1.8479999999999999</v>
      </c>
      <c r="H77" s="34">
        <f>SUM(F77*0.33/30)</f>
        <v>0.36300000000000004</v>
      </c>
      <c r="I77" s="34">
        <f>SUM(F77*14.82/30)</f>
        <v>16.302</v>
      </c>
      <c r="J77" s="34">
        <f>SUM(F77*68.97/30)</f>
        <v>75.86699999999999</v>
      </c>
      <c r="K77" s="56" t="s">
        <v>68</v>
      </c>
      <c r="L77" s="58">
        <v>2.5299999999999998</v>
      </c>
      <c r="M77" s="59"/>
    </row>
    <row r="78" spans="1:13" ht="15.75">
      <c r="A78" s="13"/>
      <c r="B78" s="8"/>
      <c r="C78" s="84"/>
      <c r="D78" s="85"/>
      <c r="E78" s="86"/>
      <c r="F78" s="58"/>
      <c r="G78" s="58"/>
      <c r="H78" s="58"/>
      <c r="I78" s="58"/>
      <c r="J78" s="58"/>
      <c r="K78" s="56"/>
      <c r="L78" s="58"/>
      <c r="M78" s="59"/>
    </row>
    <row r="79" spans="1:13" ht="15.75">
      <c r="A79" s="13"/>
      <c r="B79" s="8"/>
      <c r="C79" s="84"/>
      <c r="D79" s="85"/>
      <c r="E79" s="86"/>
      <c r="F79" s="58"/>
      <c r="G79" s="58"/>
      <c r="H79" s="58"/>
      <c r="I79" s="58"/>
      <c r="J79" s="58"/>
      <c r="K79" s="56"/>
      <c r="L79" s="58"/>
      <c r="M79" s="59"/>
    </row>
    <row r="80" spans="1:13" ht="15.75">
      <c r="A80" s="14"/>
      <c r="B80" s="10"/>
      <c r="C80" s="89"/>
      <c r="D80" s="90" t="s">
        <v>32</v>
      </c>
      <c r="E80" s="91"/>
      <c r="F80" s="60">
        <f>SUM(F71:F79)</f>
        <v>793</v>
      </c>
      <c r="G80" s="60">
        <f t="shared" ref="G80" si="34">SUM(G71:G79)</f>
        <v>23.544923076923073</v>
      </c>
      <c r="H80" s="60">
        <f t="shared" ref="H80" si="35">SUM(H71:H79)</f>
        <v>23.629923076923077</v>
      </c>
      <c r="I80" s="60">
        <f t="shared" ref="I80" si="36">SUM(I71:I79)</f>
        <v>113.68892307692306</v>
      </c>
      <c r="J80" s="60">
        <f t="shared" ref="J80:L80" si="37">SUM(J71:J79)</f>
        <v>765.43623076923075</v>
      </c>
      <c r="K80" s="57"/>
      <c r="L80" s="60">
        <f t="shared" si="37"/>
        <v>111.07000000000001</v>
      </c>
      <c r="M80" s="59"/>
    </row>
    <row r="81" spans="1:13" ht="15.75" customHeight="1" thickBot="1">
      <c r="A81" s="18">
        <f>A63</f>
        <v>1</v>
      </c>
      <c r="B81" s="19">
        <f>B63</f>
        <v>4</v>
      </c>
      <c r="C81" s="105" t="s">
        <v>4</v>
      </c>
      <c r="D81" s="106"/>
      <c r="E81" s="94"/>
      <c r="F81" s="96">
        <f>F70+F80</f>
        <v>1389</v>
      </c>
      <c r="G81" s="96">
        <f t="shared" ref="G81" si="38">G70+G80</f>
        <v>55.886923076923082</v>
      </c>
      <c r="H81" s="96">
        <f t="shared" ref="H81" si="39">H70+H80</f>
        <v>56.421923076923079</v>
      </c>
      <c r="I81" s="96">
        <f t="shared" ref="I81" si="40">I70+I80</f>
        <v>200.66892307692305</v>
      </c>
      <c r="J81" s="96">
        <f t="shared" ref="J81:L81" si="41">J70+J80</f>
        <v>1537.566230769231</v>
      </c>
      <c r="K81" s="95"/>
      <c r="L81" s="96">
        <f t="shared" si="41"/>
        <v>222.14</v>
      </c>
      <c r="M81" s="59"/>
    </row>
    <row r="82" spans="1:13" ht="15.75">
      <c r="A82" s="11">
        <v>1</v>
      </c>
      <c r="B82" s="12">
        <v>5</v>
      </c>
      <c r="C82" s="82" t="s">
        <v>20</v>
      </c>
      <c r="D82" s="83" t="s">
        <v>21</v>
      </c>
      <c r="E82" s="70" t="s">
        <v>113</v>
      </c>
      <c r="F82" s="39">
        <v>250</v>
      </c>
      <c r="G82" s="39">
        <f>F82*6.62/250</f>
        <v>6.62</v>
      </c>
      <c r="H82" s="39">
        <f>F82*9.3/250</f>
        <v>9.3000000000000007</v>
      </c>
      <c r="I82" s="39">
        <f>F82*23.8/250</f>
        <v>23.8</v>
      </c>
      <c r="J82" s="39">
        <f>F82*205.6/250</f>
        <v>205.6</v>
      </c>
      <c r="K82" s="72" t="s">
        <v>115</v>
      </c>
      <c r="L82" s="77">
        <v>26.8</v>
      </c>
      <c r="M82" s="59"/>
    </row>
    <row r="83" spans="1:13" ht="15.75">
      <c r="A83" s="13"/>
      <c r="B83" s="8"/>
      <c r="C83" s="84"/>
      <c r="D83" s="85" t="s">
        <v>28</v>
      </c>
      <c r="E83" s="33"/>
      <c r="F83" s="31"/>
      <c r="G83" s="34"/>
      <c r="H83" s="34"/>
      <c r="I83" s="34"/>
      <c r="J83" s="34"/>
      <c r="K83" s="48"/>
      <c r="L83" s="58"/>
      <c r="M83" s="59"/>
    </row>
    <row r="84" spans="1:13" ht="15.75">
      <c r="A84" s="13"/>
      <c r="B84" s="8"/>
      <c r="C84" s="84"/>
      <c r="D84" s="88" t="s">
        <v>29</v>
      </c>
      <c r="E84" s="71" t="s">
        <v>39</v>
      </c>
      <c r="F84" s="39">
        <v>200</v>
      </c>
      <c r="G84" s="39">
        <v>3.1</v>
      </c>
      <c r="H84" s="39">
        <v>3.2</v>
      </c>
      <c r="I84" s="39">
        <v>14.4</v>
      </c>
      <c r="J84" s="39">
        <v>96</v>
      </c>
      <c r="K84" s="49" t="s">
        <v>130</v>
      </c>
      <c r="L84" s="58">
        <v>15.22</v>
      </c>
      <c r="M84" s="59"/>
    </row>
    <row r="85" spans="1:13" ht="15.75">
      <c r="A85" s="13"/>
      <c r="B85" s="8"/>
      <c r="C85" s="84"/>
      <c r="D85" s="88" t="s">
        <v>30</v>
      </c>
      <c r="E85" s="34" t="s">
        <v>65</v>
      </c>
      <c r="F85" s="34">
        <v>50</v>
      </c>
      <c r="G85" s="34">
        <f>SUM(F85*6.1/50)</f>
        <v>6.1</v>
      </c>
      <c r="H85" s="34">
        <f>SUM(F85*3.7/50)</f>
        <v>3.7</v>
      </c>
      <c r="I85" s="34">
        <f>SUM(F85*17.5/50)</f>
        <v>17.5</v>
      </c>
      <c r="J85" s="34">
        <f>SUM(F85*130/50)</f>
        <v>130</v>
      </c>
      <c r="K85" s="97">
        <v>44240</v>
      </c>
      <c r="L85" s="58">
        <v>23.35</v>
      </c>
      <c r="M85" s="59"/>
    </row>
    <row r="86" spans="1:13" ht="15.75">
      <c r="A86" s="13"/>
      <c r="B86" s="8"/>
      <c r="C86" s="84"/>
      <c r="D86" s="88" t="s">
        <v>31</v>
      </c>
      <c r="E86" s="33" t="s">
        <v>40</v>
      </c>
      <c r="F86" s="39">
        <v>30</v>
      </c>
      <c r="G86" s="39">
        <f>SUM(F86*1.68/30)</f>
        <v>1.68</v>
      </c>
      <c r="H86" s="39">
        <f>SUM(F86*0.33/30)</f>
        <v>0.33</v>
      </c>
      <c r="I86" s="39">
        <f>SUM(F86*14.82/30)</f>
        <v>14.82</v>
      </c>
      <c r="J86" s="39">
        <f>SUM(F86*68.97/30)</f>
        <v>68.97</v>
      </c>
      <c r="K86" s="98" t="s">
        <v>68</v>
      </c>
      <c r="L86" s="58">
        <v>2.2999999999999998</v>
      </c>
      <c r="M86" s="59"/>
    </row>
    <row r="87" spans="1:13" ht="15.75">
      <c r="A87" s="13"/>
      <c r="B87" s="8"/>
      <c r="C87" s="84"/>
      <c r="D87" s="85" t="s">
        <v>128</v>
      </c>
      <c r="E87" s="71" t="s">
        <v>129</v>
      </c>
      <c r="F87" s="39">
        <v>192</v>
      </c>
      <c r="G87" s="34">
        <v>0.86</v>
      </c>
      <c r="H87" s="34">
        <v>0.86</v>
      </c>
      <c r="I87" s="34">
        <v>23.54</v>
      </c>
      <c r="J87" s="34">
        <v>105.35</v>
      </c>
      <c r="K87" s="56">
        <v>60</v>
      </c>
      <c r="L87" s="58">
        <v>43.4</v>
      </c>
      <c r="M87" s="59"/>
    </row>
    <row r="88" spans="1:13" ht="15.75">
      <c r="A88" s="13"/>
      <c r="B88" s="8"/>
      <c r="C88" s="84"/>
      <c r="D88" s="85"/>
      <c r="E88" s="38"/>
      <c r="F88" s="34"/>
      <c r="G88" s="34"/>
      <c r="H88" s="34"/>
      <c r="I88" s="34"/>
      <c r="J88" s="34"/>
      <c r="K88" s="49"/>
      <c r="L88" s="58"/>
      <c r="M88" s="59"/>
    </row>
    <row r="89" spans="1:13" ht="15.75">
      <c r="A89" s="14"/>
      <c r="B89" s="10"/>
      <c r="C89" s="89"/>
      <c r="D89" s="90" t="s">
        <v>32</v>
      </c>
      <c r="E89" s="91"/>
      <c r="F89" s="60">
        <f>SUM(F82:F88)</f>
        <v>722</v>
      </c>
      <c r="G89" s="60">
        <f t="shared" ref="G89" si="42">SUM(G82:G88)</f>
        <v>18.36</v>
      </c>
      <c r="H89" s="60">
        <f t="shared" ref="H89" si="43">SUM(H82:H88)</f>
        <v>17.389999999999997</v>
      </c>
      <c r="I89" s="60">
        <f t="shared" ref="I89" si="44">SUM(I82:I88)</f>
        <v>94.06</v>
      </c>
      <c r="J89" s="60">
        <f t="shared" ref="J89:L89" si="45">SUM(J82:J88)</f>
        <v>605.92000000000007</v>
      </c>
      <c r="K89" s="57"/>
      <c r="L89" s="60">
        <f t="shared" si="45"/>
        <v>111.07</v>
      </c>
      <c r="M89" s="59"/>
    </row>
    <row r="90" spans="1:13" ht="15.75">
      <c r="A90" s="15">
        <f>A82</f>
        <v>1</v>
      </c>
      <c r="B90" s="6">
        <f>B82</f>
        <v>5</v>
      </c>
      <c r="C90" s="93" t="s">
        <v>24</v>
      </c>
      <c r="D90" s="88" t="s">
        <v>25</v>
      </c>
      <c r="E90" s="70" t="s">
        <v>131</v>
      </c>
      <c r="F90" s="34">
        <v>60</v>
      </c>
      <c r="G90" s="34">
        <f>F90*0.5/50</f>
        <v>0.6</v>
      </c>
      <c r="H90" s="34">
        <f>F90*6.06/50</f>
        <v>7.2719999999999994</v>
      </c>
      <c r="I90" s="34">
        <f>F90*1/50</f>
        <v>1.2</v>
      </c>
      <c r="J90" s="34">
        <f>F90*60.54/50</f>
        <v>72.647999999999996</v>
      </c>
      <c r="K90" s="78" t="s">
        <v>132</v>
      </c>
      <c r="L90" s="58">
        <v>18.21</v>
      </c>
      <c r="M90" s="59"/>
    </row>
    <row r="91" spans="1:13" ht="15.75">
      <c r="A91" s="13"/>
      <c r="B91" s="8"/>
      <c r="C91" s="84"/>
      <c r="D91" s="88" t="s">
        <v>26</v>
      </c>
      <c r="E91" s="41" t="s">
        <v>70</v>
      </c>
      <c r="F91" s="39">
        <v>200</v>
      </c>
      <c r="G91" s="39">
        <f>F91*2/250+4.7</f>
        <v>6.3000000000000007</v>
      </c>
      <c r="H91" s="39">
        <f>F91*6.9/250+4.5</f>
        <v>10.02</v>
      </c>
      <c r="I91" s="39">
        <f>F91*11/250</f>
        <v>8.8000000000000007</v>
      </c>
      <c r="J91" s="39">
        <f>F91*114/250+59.3</f>
        <v>150.5</v>
      </c>
      <c r="K91" s="78" t="s">
        <v>133</v>
      </c>
      <c r="L91" s="58">
        <v>21.4</v>
      </c>
      <c r="M91" s="59"/>
    </row>
    <row r="92" spans="1:13" ht="15.75">
      <c r="A92" s="13"/>
      <c r="B92" s="8"/>
      <c r="C92" s="84"/>
      <c r="D92" s="88" t="s">
        <v>27</v>
      </c>
      <c r="E92" s="40" t="s">
        <v>67</v>
      </c>
      <c r="F92" s="39">
        <v>200</v>
      </c>
      <c r="G92" s="39">
        <f>F92*18.5/250</f>
        <v>14.8</v>
      </c>
      <c r="H92" s="39">
        <f>F92*20.6/250</f>
        <v>16.48</v>
      </c>
      <c r="I92" s="39">
        <f>F92*43.2/250</f>
        <v>34.56</v>
      </c>
      <c r="J92" s="39">
        <f>F92*442/250</f>
        <v>353.6</v>
      </c>
      <c r="K92" s="56">
        <v>44295</v>
      </c>
      <c r="L92" s="58">
        <v>56.35</v>
      </c>
      <c r="M92" s="59"/>
    </row>
    <row r="93" spans="1:13" ht="15.75">
      <c r="A93" s="13"/>
      <c r="B93" s="8"/>
      <c r="C93" s="84"/>
      <c r="D93" s="88" t="s">
        <v>28</v>
      </c>
      <c r="E93" s="40"/>
      <c r="F93" s="39"/>
      <c r="G93" s="39"/>
      <c r="H93" s="39"/>
      <c r="I93" s="39"/>
      <c r="J93" s="39"/>
      <c r="K93" s="56"/>
      <c r="L93" s="58"/>
      <c r="M93" s="59"/>
    </row>
    <row r="94" spans="1:13" ht="15.75">
      <c r="A94" s="13"/>
      <c r="B94" s="8"/>
      <c r="C94" s="84"/>
      <c r="D94" s="88" t="s">
        <v>29</v>
      </c>
      <c r="E94" s="37" t="s">
        <v>52</v>
      </c>
      <c r="F94" s="39">
        <v>200</v>
      </c>
      <c r="G94" s="39">
        <v>0.2</v>
      </c>
      <c r="H94" s="39">
        <v>0.1</v>
      </c>
      <c r="I94" s="39">
        <v>13.1</v>
      </c>
      <c r="J94" s="39">
        <v>54.1</v>
      </c>
      <c r="K94" s="81">
        <v>37.1</v>
      </c>
      <c r="L94" s="58">
        <v>8.3699999999999992</v>
      </c>
      <c r="M94" s="59"/>
    </row>
    <row r="95" spans="1:13" ht="15.75">
      <c r="A95" s="13"/>
      <c r="B95" s="8"/>
      <c r="C95" s="84"/>
      <c r="D95" s="88" t="s">
        <v>30</v>
      </c>
      <c r="E95" s="35" t="s">
        <v>45</v>
      </c>
      <c r="F95" s="39">
        <v>50</v>
      </c>
      <c r="G95" s="39">
        <f>SUM(F95*2.37/30)</f>
        <v>3.95</v>
      </c>
      <c r="H95" s="39">
        <f>SUM(F95*0.3/30)</f>
        <v>0.5</v>
      </c>
      <c r="I95" s="39">
        <f>SUM(F95*14.49/30)</f>
        <v>24.15</v>
      </c>
      <c r="J95" s="39">
        <f>SUM(F95*70.14/30)</f>
        <v>116.9</v>
      </c>
      <c r="K95" s="56" t="s">
        <v>68</v>
      </c>
      <c r="L95" s="58">
        <v>4.1399999999999997</v>
      </c>
      <c r="M95" s="59"/>
    </row>
    <row r="96" spans="1:13" ht="15.75">
      <c r="A96" s="13"/>
      <c r="B96" s="8"/>
      <c r="C96" s="84"/>
      <c r="D96" s="88" t="s">
        <v>31</v>
      </c>
      <c r="E96" s="33" t="s">
        <v>40</v>
      </c>
      <c r="F96" s="39">
        <v>38</v>
      </c>
      <c r="G96" s="39">
        <f>SUM(F96*1.68/30)</f>
        <v>2.1279999999999997</v>
      </c>
      <c r="H96" s="39">
        <f>SUM(F96*0.33/30)</f>
        <v>0.41800000000000004</v>
      </c>
      <c r="I96" s="39">
        <f>SUM(F96*14.82/30)</f>
        <v>18.771999999999998</v>
      </c>
      <c r="J96" s="39">
        <f>SUM(F96*68.97/30)</f>
        <v>87.362000000000009</v>
      </c>
      <c r="K96" s="56" t="s">
        <v>68</v>
      </c>
      <c r="L96" s="58">
        <v>2.6</v>
      </c>
      <c r="M96" s="59"/>
    </row>
    <row r="97" spans="1:13" ht="15.75">
      <c r="A97" s="13"/>
      <c r="B97" s="8"/>
      <c r="C97" s="84"/>
      <c r="D97" s="85"/>
      <c r="E97" s="86"/>
      <c r="F97" s="58"/>
      <c r="G97" s="58"/>
      <c r="H97" s="58"/>
      <c r="I97" s="58"/>
      <c r="J97" s="58"/>
      <c r="K97" s="56"/>
      <c r="L97" s="58"/>
      <c r="M97" s="59"/>
    </row>
    <row r="98" spans="1:13" ht="15.75">
      <c r="A98" s="13"/>
      <c r="B98" s="8"/>
      <c r="C98" s="84"/>
      <c r="D98" s="85"/>
      <c r="E98" s="86"/>
      <c r="F98" s="58"/>
      <c r="G98" s="58"/>
      <c r="H98" s="58"/>
      <c r="I98" s="58"/>
      <c r="J98" s="58"/>
      <c r="K98" s="56"/>
      <c r="L98" s="58"/>
      <c r="M98" s="59"/>
    </row>
    <row r="99" spans="1:13" ht="15.75">
      <c r="A99" s="14"/>
      <c r="B99" s="10"/>
      <c r="C99" s="89"/>
      <c r="D99" s="90" t="s">
        <v>32</v>
      </c>
      <c r="E99" s="91"/>
      <c r="F99" s="60">
        <f>SUM(F90:F98)</f>
        <v>748</v>
      </c>
      <c r="G99" s="60">
        <f t="shared" ref="G99" si="46">SUM(G90:G98)</f>
        <v>27.978000000000002</v>
      </c>
      <c r="H99" s="60">
        <f t="shared" ref="H99" si="47">SUM(H90:H98)</f>
        <v>34.79</v>
      </c>
      <c r="I99" s="60">
        <f t="shared" ref="I99" si="48">SUM(I90:I98)</f>
        <v>100.58199999999999</v>
      </c>
      <c r="J99" s="60">
        <f t="shared" ref="J99:L99" si="49">SUM(J90:J98)</f>
        <v>835.11</v>
      </c>
      <c r="K99" s="57"/>
      <c r="L99" s="92">
        <f t="shared" si="49"/>
        <v>111.07000000000001</v>
      </c>
      <c r="M99" s="59"/>
    </row>
    <row r="100" spans="1:13" ht="15.75" customHeight="1" thickBot="1">
      <c r="A100" s="18">
        <f>A82</f>
        <v>1</v>
      </c>
      <c r="B100" s="19">
        <f>B82</f>
        <v>5</v>
      </c>
      <c r="C100" s="105" t="s">
        <v>4</v>
      </c>
      <c r="D100" s="106"/>
      <c r="E100" s="94"/>
      <c r="F100" s="96">
        <f>F89+F99</f>
        <v>1470</v>
      </c>
      <c r="G100" s="96">
        <f t="shared" ref="G100" si="50">G89+G99</f>
        <v>46.338000000000001</v>
      </c>
      <c r="H100" s="96">
        <f t="shared" ref="H100" si="51">H89+H99</f>
        <v>52.179999999999993</v>
      </c>
      <c r="I100" s="96">
        <f t="shared" ref="I100" si="52">I89+I99</f>
        <v>194.642</v>
      </c>
      <c r="J100" s="96">
        <f t="shared" ref="J100:L100" si="53">J89+J99</f>
        <v>1441.0300000000002</v>
      </c>
      <c r="K100" s="95"/>
      <c r="L100" s="95">
        <f t="shared" si="53"/>
        <v>222.14</v>
      </c>
      <c r="M100" s="59"/>
    </row>
    <row r="101" spans="1:13" ht="15.75">
      <c r="A101" s="11">
        <v>2</v>
      </c>
      <c r="B101" s="12">
        <v>1</v>
      </c>
      <c r="C101" s="82" t="s">
        <v>20</v>
      </c>
      <c r="D101" s="83" t="s">
        <v>21</v>
      </c>
      <c r="E101" s="37" t="s">
        <v>134</v>
      </c>
      <c r="F101" s="34">
        <v>260</v>
      </c>
      <c r="G101" s="34">
        <f>F101*5.78/210</f>
        <v>7.156190476190476</v>
      </c>
      <c r="H101" s="34">
        <f>F101*10.4/210</f>
        <v>12.876190476190477</v>
      </c>
      <c r="I101" s="34">
        <f>F101*41.22/210</f>
        <v>51.034285714285708</v>
      </c>
      <c r="J101" s="34">
        <f>F101*281.55/210</f>
        <v>348.58571428571429</v>
      </c>
      <c r="K101" s="76">
        <v>44443</v>
      </c>
      <c r="L101" s="77">
        <v>32.26</v>
      </c>
      <c r="M101" s="59"/>
    </row>
    <row r="102" spans="1:13" ht="15.75">
      <c r="A102" s="13"/>
      <c r="B102" s="8"/>
      <c r="C102" s="84"/>
      <c r="D102" s="85"/>
      <c r="E102" s="86"/>
      <c r="F102" s="58"/>
      <c r="G102" s="58"/>
      <c r="H102" s="58"/>
      <c r="I102" s="58"/>
      <c r="J102" s="58"/>
      <c r="K102" s="56"/>
      <c r="L102" s="58"/>
      <c r="M102" s="59"/>
    </row>
    <row r="103" spans="1:13" ht="15.75">
      <c r="A103" s="13"/>
      <c r="B103" s="8"/>
      <c r="C103" s="84"/>
      <c r="D103" s="88" t="s">
        <v>29</v>
      </c>
      <c r="E103" s="37" t="s">
        <v>81</v>
      </c>
      <c r="F103" s="37">
        <v>200</v>
      </c>
      <c r="G103" s="34">
        <v>0.1</v>
      </c>
      <c r="H103" s="34">
        <v>0</v>
      </c>
      <c r="I103" s="34">
        <v>9.8000000000000007</v>
      </c>
      <c r="J103" s="34">
        <v>39</v>
      </c>
      <c r="K103" s="78" t="s">
        <v>135</v>
      </c>
      <c r="L103" s="58">
        <v>3.06</v>
      </c>
      <c r="M103" s="59"/>
    </row>
    <row r="104" spans="1:13" ht="15.75">
      <c r="A104" s="13"/>
      <c r="B104" s="8"/>
      <c r="C104" s="84"/>
      <c r="D104" s="88" t="s">
        <v>31</v>
      </c>
      <c r="E104" s="33" t="s">
        <v>40</v>
      </c>
      <c r="F104" s="34">
        <v>37</v>
      </c>
      <c r="G104" s="34">
        <f>SUM(F104*1.68/30)</f>
        <v>2.0720000000000001</v>
      </c>
      <c r="H104" s="34">
        <f>SUM(F104*0.33/30)</f>
        <v>0.40700000000000003</v>
      </c>
      <c r="I104" s="34">
        <f>SUM(F104*14.82/30)</f>
        <v>18.278000000000002</v>
      </c>
      <c r="J104" s="34">
        <f>SUM(F104*68.97/30)</f>
        <v>85.063000000000002</v>
      </c>
      <c r="K104" s="56" t="s">
        <v>68</v>
      </c>
      <c r="L104" s="58">
        <v>2.84</v>
      </c>
      <c r="M104" s="59"/>
    </row>
    <row r="105" spans="1:13" ht="15.75">
      <c r="A105" s="13"/>
      <c r="B105" s="8"/>
      <c r="C105" s="84"/>
      <c r="D105" s="88"/>
      <c r="E105" s="41" t="s">
        <v>124</v>
      </c>
      <c r="F105" s="50">
        <v>70</v>
      </c>
      <c r="G105" s="34">
        <f>F105*3.25/50</f>
        <v>4.55</v>
      </c>
      <c r="H105" s="34">
        <f>F105*6.4/50</f>
        <v>8.9600000000000009</v>
      </c>
      <c r="I105" s="34">
        <f>F105*19.6/50</f>
        <v>27.44</v>
      </c>
      <c r="J105" s="34">
        <f>F105*149/50</f>
        <v>208.6</v>
      </c>
      <c r="K105" s="56">
        <v>44268</v>
      </c>
      <c r="L105" s="58">
        <v>25.75</v>
      </c>
      <c r="M105" s="59"/>
    </row>
    <row r="106" spans="1:13" ht="15.75">
      <c r="A106" s="13"/>
      <c r="B106" s="8"/>
      <c r="C106" s="84"/>
      <c r="D106" s="85"/>
      <c r="E106" s="38" t="s">
        <v>72</v>
      </c>
      <c r="F106" s="34">
        <v>40</v>
      </c>
      <c r="G106" s="34">
        <v>5.0999999999999996</v>
      </c>
      <c r="H106" s="34">
        <v>4.68</v>
      </c>
      <c r="I106" s="34">
        <v>0.3</v>
      </c>
      <c r="J106" s="34">
        <v>63</v>
      </c>
      <c r="K106" s="56">
        <v>44202</v>
      </c>
      <c r="L106" s="58">
        <v>12.48</v>
      </c>
      <c r="M106" s="59"/>
    </row>
    <row r="107" spans="1:13" ht="15.75">
      <c r="A107" s="13"/>
      <c r="B107" s="8"/>
      <c r="C107" s="84"/>
      <c r="D107" s="85"/>
      <c r="E107" s="54" t="s">
        <v>100</v>
      </c>
      <c r="F107" s="34">
        <v>50</v>
      </c>
      <c r="G107" s="34">
        <v>13.7</v>
      </c>
      <c r="H107" s="34">
        <v>15.8</v>
      </c>
      <c r="I107" s="34">
        <v>5.8</v>
      </c>
      <c r="J107" s="34">
        <v>220</v>
      </c>
      <c r="K107" s="56" t="s">
        <v>104</v>
      </c>
      <c r="L107" s="58">
        <v>34.68</v>
      </c>
      <c r="M107" s="59"/>
    </row>
    <row r="108" spans="1:13" ht="15.75">
      <c r="A108" s="14"/>
      <c r="B108" s="10"/>
      <c r="C108" s="89"/>
      <c r="D108" s="90" t="s">
        <v>32</v>
      </c>
      <c r="E108" s="91"/>
      <c r="F108" s="60">
        <f>SUM(F101:F107)</f>
        <v>657</v>
      </c>
      <c r="G108" s="60">
        <f t="shared" ref="G108:J108" si="54">SUM(G101:G107)</f>
        <v>32.67819047619048</v>
      </c>
      <c r="H108" s="60">
        <f t="shared" si="54"/>
        <v>42.723190476190481</v>
      </c>
      <c r="I108" s="60">
        <f t="shared" si="54"/>
        <v>112.65228571428571</v>
      </c>
      <c r="J108" s="60">
        <f t="shared" si="54"/>
        <v>964.2487142857143</v>
      </c>
      <c r="K108" s="57"/>
      <c r="L108" s="60">
        <f t="shared" ref="L108" si="55">SUM(L101:L107)</f>
        <v>111.07</v>
      </c>
      <c r="M108" s="59"/>
    </row>
    <row r="109" spans="1:13" ht="15.75">
      <c r="A109" s="15">
        <f>A101</f>
        <v>2</v>
      </c>
      <c r="B109" s="6">
        <f>B101</f>
        <v>1</v>
      </c>
      <c r="C109" s="93" t="s">
        <v>24</v>
      </c>
      <c r="D109" s="88" t="s">
        <v>25</v>
      </c>
      <c r="E109" s="38" t="s">
        <v>46</v>
      </c>
      <c r="F109" s="39">
        <v>60</v>
      </c>
      <c r="G109" s="39">
        <f>F109*0.32/40</f>
        <v>0.48</v>
      </c>
      <c r="H109" s="39">
        <v>0</v>
      </c>
      <c r="I109" s="39">
        <f>F109*0.96/40</f>
        <v>1.44</v>
      </c>
      <c r="J109" s="39">
        <f>F109*5.12/40</f>
        <v>7.68</v>
      </c>
      <c r="K109" s="44">
        <v>1</v>
      </c>
      <c r="L109" s="39">
        <v>9.4932488999999993</v>
      </c>
      <c r="M109" s="59"/>
    </row>
    <row r="110" spans="1:13" ht="15.75">
      <c r="A110" s="13"/>
      <c r="B110" s="8"/>
      <c r="C110" s="84"/>
      <c r="D110" s="88" t="s">
        <v>26</v>
      </c>
      <c r="E110" s="51" t="s">
        <v>136</v>
      </c>
      <c r="F110" s="39">
        <v>200</v>
      </c>
      <c r="G110" s="39">
        <f>F110*3.2/250+0.2</f>
        <v>2.7600000000000002</v>
      </c>
      <c r="H110" s="39">
        <f>F110*3.7/250</f>
        <v>2.96</v>
      </c>
      <c r="I110" s="39">
        <f>F110*21.8/250+0.4</f>
        <v>17.84</v>
      </c>
      <c r="J110" s="39">
        <f>F110*133/250+3</f>
        <v>109.4</v>
      </c>
      <c r="K110" s="52" t="s">
        <v>77</v>
      </c>
      <c r="L110" s="39">
        <v>7.5034000000000001</v>
      </c>
      <c r="M110" s="59"/>
    </row>
    <row r="111" spans="1:13" ht="15.75">
      <c r="A111" s="13"/>
      <c r="B111" s="8"/>
      <c r="C111" s="84"/>
      <c r="D111" s="88" t="s">
        <v>27</v>
      </c>
      <c r="E111" s="40" t="s">
        <v>74</v>
      </c>
      <c r="F111" s="39">
        <v>90</v>
      </c>
      <c r="G111" s="39">
        <f>F111*14.04/90</f>
        <v>14.04</v>
      </c>
      <c r="H111" s="39">
        <f>F111*17.5/90</f>
        <v>17.5</v>
      </c>
      <c r="I111" s="39">
        <f>F111*2.8/90</f>
        <v>2.8</v>
      </c>
      <c r="J111" s="39">
        <f>F111*224.5/90</f>
        <v>224.5</v>
      </c>
      <c r="K111" s="44" t="s">
        <v>78</v>
      </c>
      <c r="L111" s="39">
        <v>57.793414499999997</v>
      </c>
      <c r="M111" s="59"/>
    </row>
    <row r="112" spans="1:13" ht="15.75">
      <c r="A112" s="13"/>
      <c r="B112" s="8"/>
      <c r="C112" s="84"/>
      <c r="D112" s="88" t="s">
        <v>28</v>
      </c>
      <c r="E112" s="40" t="s">
        <v>75</v>
      </c>
      <c r="F112" s="39">
        <v>150</v>
      </c>
      <c r="G112" s="39">
        <f>F112*3.22/150</f>
        <v>3.22</v>
      </c>
      <c r="H112" s="39">
        <f>F112*2.85/150</f>
        <v>2.85</v>
      </c>
      <c r="I112" s="39">
        <f>F112*11.9/150</f>
        <v>11.9</v>
      </c>
      <c r="J112" s="39">
        <f>F112*86.25/150</f>
        <v>86.25</v>
      </c>
      <c r="K112" s="44">
        <v>44533</v>
      </c>
      <c r="L112" s="39">
        <v>17.306114166666664</v>
      </c>
      <c r="M112" s="59"/>
    </row>
    <row r="113" spans="1:13" ht="15.75">
      <c r="A113" s="13"/>
      <c r="B113" s="8"/>
      <c r="C113" s="84"/>
      <c r="D113" s="88" t="s">
        <v>29</v>
      </c>
      <c r="E113" s="40" t="s">
        <v>76</v>
      </c>
      <c r="F113" s="39">
        <v>200</v>
      </c>
      <c r="G113" s="39">
        <v>1</v>
      </c>
      <c r="H113" s="39">
        <v>0</v>
      </c>
      <c r="I113" s="39">
        <v>27.4</v>
      </c>
      <c r="J113" s="39">
        <v>113.6</v>
      </c>
      <c r="K113" s="44">
        <v>16</v>
      </c>
      <c r="L113" s="39">
        <v>12.607999999999999</v>
      </c>
      <c r="M113" s="59"/>
    </row>
    <row r="114" spans="1:13" ht="15.75">
      <c r="A114" s="13"/>
      <c r="B114" s="8"/>
      <c r="C114" s="84"/>
      <c r="D114" s="88" t="s">
        <v>30</v>
      </c>
      <c r="E114" s="35" t="s">
        <v>45</v>
      </c>
      <c r="F114" s="39">
        <v>37</v>
      </c>
      <c r="G114" s="39">
        <f>SUM(F114*2.37/30)</f>
        <v>2.923</v>
      </c>
      <c r="H114" s="39">
        <f>SUM(F114*0.3/30)</f>
        <v>0.37</v>
      </c>
      <c r="I114" s="39">
        <f>SUM(F114*14.49/30)</f>
        <v>17.870999999999999</v>
      </c>
      <c r="J114" s="39">
        <f>SUM(F114*70.14/30)</f>
        <v>86.506</v>
      </c>
      <c r="K114" s="47" t="s">
        <v>68</v>
      </c>
      <c r="L114" s="39">
        <v>3.11</v>
      </c>
      <c r="M114" s="59"/>
    </row>
    <row r="115" spans="1:13" ht="15.75">
      <c r="A115" s="13"/>
      <c r="B115" s="8"/>
      <c r="C115" s="84"/>
      <c r="D115" s="88" t="s">
        <v>31</v>
      </c>
      <c r="E115" s="33" t="s">
        <v>40</v>
      </c>
      <c r="F115" s="39">
        <v>32</v>
      </c>
      <c r="G115" s="39">
        <f>SUM(F115*1.68/30)</f>
        <v>1.792</v>
      </c>
      <c r="H115" s="39">
        <f>SUM(F115*0.33/30)</f>
        <v>0.35200000000000004</v>
      </c>
      <c r="I115" s="39">
        <f>SUM(F115*14.82/30)</f>
        <v>15.808</v>
      </c>
      <c r="J115" s="39">
        <f>SUM(F115*68.97/30)</f>
        <v>73.567999999999998</v>
      </c>
      <c r="K115" s="47" t="s">
        <v>69</v>
      </c>
      <c r="L115" s="39">
        <v>2.25</v>
      </c>
      <c r="M115" s="59"/>
    </row>
    <row r="116" spans="1:13" ht="15.75">
      <c r="A116" s="13"/>
      <c r="B116" s="8"/>
      <c r="C116" s="84"/>
      <c r="D116" s="85"/>
      <c r="E116" s="40" t="s">
        <v>73</v>
      </c>
      <c r="F116" s="39">
        <v>10</v>
      </c>
      <c r="G116" s="39">
        <f>F116*1.7/20</f>
        <v>0.85</v>
      </c>
      <c r="H116" s="39">
        <f>F116*0.2/20</f>
        <v>0.1</v>
      </c>
      <c r="I116" s="39">
        <f>F116*10.7/20</f>
        <v>5.35</v>
      </c>
      <c r="J116" s="39">
        <f>F116*51/20</f>
        <v>25.5</v>
      </c>
      <c r="K116" s="46">
        <v>40.200000000000003</v>
      </c>
      <c r="L116" s="39">
        <v>1.01</v>
      </c>
      <c r="M116" s="59"/>
    </row>
    <row r="117" spans="1:13" ht="15.75">
      <c r="A117" s="13"/>
      <c r="B117" s="8"/>
      <c r="C117" s="84"/>
      <c r="D117" s="85"/>
      <c r="E117" s="86"/>
      <c r="F117" s="58"/>
      <c r="G117" s="58"/>
      <c r="H117" s="58"/>
      <c r="I117" s="58"/>
      <c r="J117" s="58"/>
      <c r="K117" s="56"/>
      <c r="L117" s="58"/>
      <c r="M117" s="59"/>
    </row>
    <row r="118" spans="1:13" ht="15.75">
      <c r="A118" s="14"/>
      <c r="B118" s="10"/>
      <c r="C118" s="89"/>
      <c r="D118" s="90" t="s">
        <v>32</v>
      </c>
      <c r="E118" s="91"/>
      <c r="F118" s="60">
        <f>SUM(F109:F117)</f>
        <v>779</v>
      </c>
      <c r="G118" s="60">
        <f t="shared" ref="G118:J118" si="56">SUM(G109:G117)</f>
        <v>27.065000000000005</v>
      </c>
      <c r="H118" s="60">
        <f t="shared" si="56"/>
        <v>24.132000000000005</v>
      </c>
      <c r="I118" s="60">
        <f t="shared" si="56"/>
        <v>100.40899999999999</v>
      </c>
      <c r="J118" s="60">
        <f t="shared" si="56"/>
        <v>727.00400000000002</v>
      </c>
      <c r="K118" s="57"/>
      <c r="L118" s="60">
        <f t="shared" ref="L118" si="57">SUM(L109:L117)</f>
        <v>111.07417756666666</v>
      </c>
      <c r="M118" s="59"/>
    </row>
    <row r="119" spans="1:13" ht="16.5" thickBot="1">
      <c r="A119" s="18">
        <f>A101</f>
        <v>2</v>
      </c>
      <c r="B119" s="19">
        <f>B101</f>
        <v>1</v>
      </c>
      <c r="C119" s="105" t="s">
        <v>4</v>
      </c>
      <c r="D119" s="106"/>
      <c r="E119" s="94"/>
      <c r="F119" s="96">
        <f>F108+F118</f>
        <v>1436</v>
      </c>
      <c r="G119" s="96">
        <f t="shared" ref="G119" si="58">G108+G118</f>
        <v>59.743190476190485</v>
      </c>
      <c r="H119" s="96">
        <f t="shared" ref="H119" si="59">H108+H118</f>
        <v>66.855190476190486</v>
      </c>
      <c r="I119" s="96">
        <f t="shared" ref="I119" si="60">I108+I118</f>
        <v>213.0612857142857</v>
      </c>
      <c r="J119" s="96">
        <f t="shared" ref="J119:L119" si="61">J108+J118</f>
        <v>1691.2527142857143</v>
      </c>
      <c r="K119" s="95"/>
      <c r="L119" s="96">
        <f t="shared" si="61"/>
        <v>222.14417756666666</v>
      </c>
      <c r="M119" s="59"/>
    </row>
    <row r="120" spans="1:13" ht="15.75">
      <c r="A120" s="7">
        <v>2</v>
      </c>
      <c r="B120" s="8">
        <v>2</v>
      </c>
      <c r="C120" s="82" t="s">
        <v>20</v>
      </c>
      <c r="D120" s="83" t="s">
        <v>21</v>
      </c>
      <c r="E120" s="37" t="s">
        <v>79</v>
      </c>
      <c r="F120" s="34">
        <v>150</v>
      </c>
      <c r="G120" s="34">
        <f>F120*33.8/200</f>
        <v>25.35</v>
      </c>
      <c r="H120" s="34">
        <f>F120*19.2/200</f>
        <v>14.4</v>
      </c>
      <c r="I120" s="34">
        <f>F120*26.4/200</f>
        <v>19.8</v>
      </c>
      <c r="J120" s="34">
        <f>F120*414/200</f>
        <v>310.5</v>
      </c>
      <c r="K120" s="55">
        <v>4443</v>
      </c>
      <c r="L120" s="77">
        <v>72.393112500000001</v>
      </c>
      <c r="M120" s="59"/>
    </row>
    <row r="121" spans="1:13" ht="15.75">
      <c r="A121" s="7"/>
      <c r="B121" s="8"/>
      <c r="C121" s="84"/>
      <c r="D121" s="85"/>
      <c r="E121" s="37" t="s">
        <v>80</v>
      </c>
      <c r="F121" s="34">
        <v>20</v>
      </c>
      <c r="G121" s="34">
        <f>F121*1.4/20</f>
        <v>1.4</v>
      </c>
      <c r="H121" s="34">
        <f>F121*1.8/20</f>
        <v>1.8</v>
      </c>
      <c r="I121" s="34">
        <f>F121*11.2/20</f>
        <v>11.2</v>
      </c>
      <c r="J121" s="34">
        <f>F121*64/20</f>
        <v>64</v>
      </c>
      <c r="K121" s="56" t="s">
        <v>68</v>
      </c>
      <c r="L121" s="58">
        <v>13.43144</v>
      </c>
      <c r="M121" s="59"/>
    </row>
    <row r="122" spans="1:13" ht="15.75">
      <c r="A122" s="7"/>
      <c r="B122" s="8"/>
      <c r="C122" s="84"/>
      <c r="D122" s="88" t="s">
        <v>22</v>
      </c>
      <c r="E122" s="37" t="s">
        <v>81</v>
      </c>
      <c r="F122" s="37">
        <v>200</v>
      </c>
      <c r="G122" s="34">
        <v>0.1</v>
      </c>
      <c r="H122" s="34">
        <v>0</v>
      </c>
      <c r="I122" s="34">
        <v>9.8000000000000007</v>
      </c>
      <c r="J122" s="34">
        <v>39</v>
      </c>
      <c r="K122" s="56">
        <v>27.1</v>
      </c>
      <c r="L122" s="58">
        <v>3.056</v>
      </c>
      <c r="M122" s="59"/>
    </row>
    <row r="123" spans="1:13" ht="15.75">
      <c r="A123" s="7"/>
      <c r="B123" s="8"/>
      <c r="C123" s="84"/>
      <c r="D123" s="88" t="s">
        <v>23</v>
      </c>
      <c r="E123" s="35" t="s">
        <v>45</v>
      </c>
      <c r="F123" s="34">
        <v>30</v>
      </c>
      <c r="G123" s="34">
        <f>SUM(F123*2.37/30)</f>
        <v>2.37</v>
      </c>
      <c r="H123" s="34">
        <f>SUM(F123*0.3/30)</f>
        <v>0.3</v>
      </c>
      <c r="I123" s="34">
        <f>SUM(F123*14.49/30)</f>
        <v>14.49</v>
      </c>
      <c r="J123" s="34">
        <f>SUM(F123*70.14/30)</f>
        <v>70.14</v>
      </c>
      <c r="K123" s="56" t="s">
        <v>68</v>
      </c>
      <c r="L123" s="58">
        <v>2.52</v>
      </c>
      <c r="M123" s="59"/>
    </row>
    <row r="124" spans="1:13" ht="15.75">
      <c r="A124" s="7"/>
      <c r="B124" s="8"/>
      <c r="C124" s="84"/>
      <c r="D124" s="88" t="s">
        <v>23</v>
      </c>
      <c r="E124" s="33" t="s">
        <v>40</v>
      </c>
      <c r="F124" s="34">
        <v>20</v>
      </c>
      <c r="G124" s="34">
        <f>SUM(F124*1.68/30)</f>
        <v>1.1200000000000001</v>
      </c>
      <c r="H124" s="34">
        <f>SUM(F124*0.33/30)</f>
        <v>0.22000000000000003</v>
      </c>
      <c r="I124" s="34">
        <v>9.8800000000000008</v>
      </c>
      <c r="J124" s="34">
        <v>45.98</v>
      </c>
      <c r="K124" s="56" t="s">
        <v>68</v>
      </c>
      <c r="L124" s="58">
        <v>1.53</v>
      </c>
      <c r="M124" s="59"/>
    </row>
    <row r="125" spans="1:13" ht="15.75">
      <c r="A125" s="7"/>
      <c r="B125" s="8"/>
      <c r="C125" s="84"/>
      <c r="D125" s="85" t="s">
        <v>82</v>
      </c>
      <c r="E125" s="34" t="s">
        <v>107</v>
      </c>
      <c r="F125" s="34">
        <v>130</v>
      </c>
      <c r="G125" s="34">
        <v>0.52</v>
      </c>
      <c r="H125" s="34">
        <v>0.52</v>
      </c>
      <c r="I125" s="34">
        <v>14.24</v>
      </c>
      <c r="J125" s="34">
        <v>63.7</v>
      </c>
      <c r="K125" s="56" t="s">
        <v>68</v>
      </c>
      <c r="L125" s="58">
        <v>18.14</v>
      </c>
      <c r="M125" s="59"/>
    </row>
    <row r="126" spans="1:13" ht="15.75">
      <c r="A126" s="7"/>
      <c r="B126" s="8"/>
      <c r="C126" s="84"/>
      <c r="D126" s="85"/>
      <c r="E126" s="86"/>
      <c r="F126" s="58"/>
      <c r="G126" s="58"/>
      <c r="H126" s="58"/>
      <c r="I126" s="58"/>
      <c r="J126" s="58"/>
      <c r="K126" s="56"/>
      <c r="L126" s="58"/>
      <c r="M126" s="59"/>
    </row>
    <row r="127" spans="1:13" ht="15.75">
      <c r="A127" s="9"/>
      <c r="B127" s="10"/>
      <c r="C127" s="89"/>
      <c r="D127" s="90" t="s">
        <v>32</v>
      </c>
      <c r="E127" s="91"/>
      <c r="F127" s="60">
        <f>SUM(F120:F126)</f>
        <v>550</v>
      </c>
      <c r="G127" s="60">
        <f t="shared" ref="G127:J127" si="62">SUM(G120:G126)</f>
        <v>30.860000000000003</v>
      </c>
      <c r="H127" s="60">
        <f t="shared" si="62"/>
        <v>17.239999999999998</v>
      </c>
      <c r="I127" s="60">
        <f t="shared" si="62"/>
        <v>79.41</v>
      </c>
      <c r="J127" s="60">
        <f t="shared" si="62"/>
        <v>593.32000000000005</v>
      </c>
      <c r="K127" s="57"/>
      <c r="L127" s="60">
        <f t="shared" ref="L127" si="63">SUM(L120:L126)</f>
        <v>111.07055249999999</v>
      </c>
      <c r="M127" s="59"/>
    </row>
    <row r="128" spans="1:13" ht="15.75">
      <c r="A128" s="6">
        <f>A120</f>
        <v>2</v>
      </c>
      <c r="B128" s="6">
        <f>B120</f>
        <v>2</v>
      </c>
      <c r="C128" s="93" t="s">
        <v>24</v>
      </c>
      <c r="D128" s="88" t="s">
        <v>25</v>
      </c>
      <c r="E128" s="35" t="s">
        <v>137</v>
      </c>
      <c r="F128" s="34">
        <v>60</v>
      </c>
      <c r="G128" s="34">
        <f>F128*0.9/60</f>
        <v>0.9</v>
      </c>
      <c r="H128" s="34">
        <f>F128*3.6/60</f>
        <v>3.6</v>
      </c>
      <c r="I128" s="34">
        <f>F128*4.5/60</f>
        <v>4.5</v>
      </c>
      <c r="J128" s="34">
        <f>F128*54/60</f>
        <v>54</v>
      </c>
      <c r="K128" s="47">
        <v>2</v>
      </c>
      <c r="L128" s="58">
        <v>12.53</v>
      </c>
      <c r="M128" s="59"/>
    </row>
    <row r="129" spans="1:13" ht="15.75">
      <c r="A129" s="7"/>
      <c r="B129" s="8"/>
      <c r="C129" s="84"/>
      <c r="D129" s="88" t="s">
        <v>26</v>
      </c>
      <c r="E129" s="41" t="s">
        <v>83</v>
      </c>
      <c r="F129" s="34">
        <v>200</v>
      </c>
      <c r="G129" s="34">
        <f>F129*7.76/200</f>
        <v>7.76</v>
      </c>
      <c r="H129" s="34">
        <f>F129*3.84/200</f>
        <v>3.84</v>
      </c>
      <c r="I129" s="34">
        <f>F129*10.48/200</f>
        <v>10.48</v>
      </c>
      <c r="J129" s="34">
        <f>F129*108/200</f>
        <v>108</v>
      </c>
      <c r="K129" s="44" t="s">
        <v>84</v>
      </c>
      <c r="L129" s="58">
        <v>18.899999999999999</v>
      </c>
      <c r="M129" s="59"/>
    </row>
    <row r="130" spans="1:13" ht="15.75">
      <c r="A130" s="7"/>
      <c r="B130" s="8"/>
      <c r="C130" s="84"/>
      <c r="D130" s="88" t="s">
        <v>27</v>
      </c>
      <c r="E130" s="41" t="s">
        <v>62</v>
      </c>
      <c r="F130" s="34">
        <v>90</v>
      </c>
      <c r="G130" s="34">
        <v>17.190000000000001</v>
      </c>
      <c r="H130" s="34">
        <v>14.31</v>
      </c>
      <c r="I130" s="34">
        <v>0.18</v>
      </c>
      <c r="J130" s="34">
        <v>198</v>
      </c>
      <c r="K130" s="47">
        <v>4232</v>
      </c>
      <c r="L130" s="58">
        <v>55.375726499999992</v>
      </c>
      <c r="M130" s="59"/>
    </row>
    <row r="131" spans="1:13" ht="15.75">
      <c r="A131" s="7"/>
      <c r="B131" s="8"/>
      <c r="C131" s="84"/>
      <c r="D131" s="88" t="s">
        <v>28</v>
      </c>
      <c r="E131" s="33" t="s">
        <v>43</v>
      </c>
      <c r="F131" s="31">
        <v>150</v>
      </c>
      <c r="G131" s="34">
        <f>F131*5.3/150</f>
        <v>5.3</v>
      </c>
      <c r="H131" s="34">
        <f>F131*3/150</f>
        <v>3</v>
      </c>
      <c r="I131" s="34">
        <f>F131*32.4/150</f>
        <v>32.4</v>
      </c>
      <c r="J131" s="34">
        <f>F131*178/150</f>
        <v>178</v>
      </c>
      <c r="K131" s="47" t="s">
        <v>85</v>
      </c>
      <c r="L131" s="58">
        <v>6.8977574999999991</v>
      </c>
      <c r="M131" s="59"/>
    </row>
    <row r="132" spans="1:13" ht="15.75">
      <c r="A132" s="7"/>
      <c r="B132" s="8"/>
      <c r="C132" s="84"/>
      <c r="D132" s="88" t="s">
        <v>29</v>
      </c>
      <c r="E132" s="37" t="s">
        <v>51</v>
      </c>
      <c r="F132" s="34">
        <v>200</v>
      </c>
      <c r="G132" s="34">
        <v>0.4</v>
      </c>
      <c r="H132" s="34">
        <v>0.4</v>
      </c>
      <c r="I132" s="34">
        <v>18.399999999999999</v>
      </c>
      <c r="J132" s="34">
        <v>80</v>
      </c>
      <c r="K132" s="44">
        <v>44265</v>
      </c>
      <c r="L132" s="58">
        <v>10.79424</v>
      </c>
      <c r="M132" s="59"/>
    </row>
    <row r="133" spans="1:13" ht="15.75">
      <c r="A133" s="7"/>
      <c r="B133" s="8"/>
      <c r="C133" s="84"/>
      <c r="D133" s="88" t="s">
        <v>30</v>
      </c>
      <c r="E133" s="35" t="s">
        <v>45</v>
      </c>
      <c r="F133" s="34">
        <v>50</v>
      </c>
      <c r="G133" s="34">
        <f>SUM(F133*2.37/30)</f>
        <v>3.95</v>
      </c>
      <c r="H133" s="34">
        <f>SUM(F133*0.3/30)</f>
        <v>0.5</v>
      </c>
      <c r="I133" s="34">
        <f>SUM(F133*14.49/30)</f>
        <v>24.15</v>
      </c>
      <c r="J133" s="34">
        <f>SUM(F133*70.14/30)</f>
        <v>116.9</v>
      </c>
      <c r="K133" s="47" t="s">
        <v>68</v>
      </c>
      <c r="L133" s="58">
        <v>4.2</v>
      </c>
      <c r="M133" s="59"/>
    </row>
    <row r="134" spans="1:13" ht="15.75">
      <c r="A134" s="7"/>
      <c r="B134" s="8"/>
      <c r="C134" s="84"/>
      <c r="D134" s="88" t="s">
        <v>31</v>
      </c>
      <c r="E134" s="33" t="s">
        <v>40</v>
      </c>
      <c r="F134" s="34">
        <v>31</v>
      </c>
      <c r="G134" s="34">
        <f>SUM(F134*1.68/30)</f>
        <v>1.736</v>
      </c>
      <c r="H134" s="34">
        <f>SUM(F134*0.33/30)</f>
        <v>0.34100000000000003</v>
      </c>
      <c r="I134" s="34">
        <f>SUM(F134*14.82/30)</f>
        <v>15.314</v>
      </c>
      <c r="J134" s="34">
        <f>SUM(F134*68.97/30)</f>
        <v>71.269000000000005</v>
      </c>
      <c r="K134" s="47" t="s">
        <v>69</v>
      </c>
      <c r="L134" s="58">
        <v>2.37</v>
      </c>
      <c r="M134" s="59"/>
    </row>
    <row r="135" spans="1:13" ht="15.75">
      <c r="A135" s="7"/>
      <c r="B135" s="8"/>
      <c r="C135" s="84"/>
      <c r="D135" s="85"/>
      <c r="E135" s="86"/>
      <c r="F135" s="58"/>
      <c r="G135" s="58"/>
      <c r="H135" s="58"/>
      <c r="I135" s="58"/>
      <c r="J135" s="58"/>
      <c r="K135" s="56"/>
      <c r="L135" s="58"/>
      <c r="M135" s="59"/>
    </row>
    <row r="136" spans="1:13" ht="15.75">
      <c r="A136" s="7"/>
      <c r="B136" s="8"/>
      <c r="C136" s="84"/>
      <c r="D136" s="85"/>
      <c r="E136" s="86"/>
      <c r="F136" s="58"/>
      <c r="G136" s="58"/>
      <c r="H136" s="58"/>
      <c r="I136" s="58"/>
      <c r="J136" s="58"/>
      <c r="K136" s="56"/>
      <c r="L136" s="58"/>
      <c r="M136" s="59"/>
    </row>
    <row r="137" spans="1:13" ht="15.75">
      <c r="A137" s="9"/>
      <c r="B137" s="10"/>
      <c r="C137" s="89"/>
      <c r="D137" s="90" t="s">
        <v>32</v>
      </c>
      <c r="E137" s="91"/>
      <c r="F137" s="60">
        <f>SUM(F128:F136)</f>
        <v>781</v>
      </c>
      <c r="G137" s="60">
        <f t="shared" ref="G137:J137" si="64">SUM(G128:G136)</f>
        <v>37.235999999999997</v>
      </c>
      <c r="H137" s="60">
        <f t="shared" si="64"/>
        <v>25.991</v>
      </c>
      <c r="I137" s="60">
        <f t="shared" si="64"/>
        <v>105.42400000000001</v>
      </c>
      <c r="J137" s="60">
        <f t="shared" si="64"/>
        <v>806.16899999999998</v>
      </c>
      <c r="K137" s="99"/>
      <c r="L137" s="60">
        <f t="shared" ref="L137" si="65">SUM(L128:L136)</f>
        <v>111.067724</v>
      </c>
      <c r="M137" s="59"/>
    </row>
    <row r="138" spans="1:13" ht="16.5" thickBot="1">
      <c r="A138" s="20">
        <f>A120</f>
        <v>2</v>
      </c>
      <c r="B138" s="20">
        <f>B120</f>
        <v>2</v>
      </c>
      <c r="C138" s="105" t="s">
        <v>4</v>
      </c>
      <c r="D138" s="106"/>
      <c r="E138" s="94"/>
      <c r="F138" s="96">
        <f>F127+F137</f>
        <v>1331</v>
      </c>
      <c r="G138" s="96">
        <f t="shared" ref="G138" si="66">G127+G137</f>
        <v>68.096000000000004</v>
      </c>
      <c r="H138" s="96">
        <f t="shared" ref="H138" si="67">H127+H137</f>
        <v>43.230999999999995</v>
      </c>
      <c r="I138" s="96">
        <f t="shared" ref="I138" si="68">I127+I137</f>
        <v>184.834</v>
      </c>
      <c r="J138" s="96">
        <f t="shared" ref="J138:L138" si="69">J127+J137</f>
        <v>1399.489</v>
      </c>
      <c r="K138" s="95"/>
      <c r="L138" s="96">
        <f t="shared" si="69"/>
        <v>222.13827649999999</v>
      </c>
      <c r="M138" s="59"/>
    </row>
    <row r="139" spans="1:13" ht="15.75">
      <c r="A139" s="11">
        <v>2</v>
      </c>
      <c r="B139" s="12">
        <v>3</v>
      </c>
      <c r="C139" s="82" t="s">
        <v>20</v>
      </c>
      <c r="D139" s="83" t="s">
        <v>21</v>
      </c>
      <c r="E139" s="37" t="s">
        <v>138</v>
      </c>
      <c r="F139" s="34">
        <v>185</v>
      </c>
      <c r="G139" s="34">
        <f>F139*33.8/200</f>
        <v>31.264999999999997</v>
      </c>
      <c r="H139" s="34">
        <f>F139*19.2/200</f>
        <v>17.760000000000002</v>
      </c>
      <c r="I139" s="34">
        <f>F139*26.4/200</f>
        <v>24.42</v>
      </c>
      <c r="J139" s="34">
        <f>F139*414/200</f>
        <v>382.95</v>
      </c>
      <c r="K139" s="44" t="s">
        <v>140</v>
      </c>
      <c r="L139" s="77">
        <v>89.05</v>
      </c>
      <c r="M139" s="59"/>
    </row>
    <row r="140" spans="1:13" ht="15.75">
      <c r="A140" s="13"/>
      <c r="B140" s="8"/>
      <c r="C140" s="84"/>
      <c r="D140" s="85" t="s">
        <v>28</v>
      </c>
      <c r="E140" s="40"/>
      <c r="F140" s="34"/>
      <c r="G140" s="34"/>
      <c r="H140" s="34"/>
      <c r="I140" s="34"/>
      <c r="J140" s="39"/>
      <c r="K140" s="44"/>
      <c r="L140" s="58"/>
      <c r="M140" s="59"/>
    </row>
    <row r="141" spans="1:13" ht="15.75">
      <c r="A141" s="13"/>
      <c r="B141" s="8"/>
      <c r="C141" s="84"/>
      <c r="D141" s="88" t="s">
        <v>22</v>
      </c>
      <c r="E141" s="34" t="s">
        <v>47</v>
      </c>
      <c r="F141" s="34">
        <v>200</v>
      </c>
      <c r="G141" s="34">
        <v>0.1</v>
      </c>
      <c r="H141" s="34">
        <v>0</v>
      </c>
      <c r="I141" s="34">
        <v>9.9</v>
      </c>
      <c r="J141" s="34">
        <v>40</v>
      </c>
      <c r="K141" s="34" t="s">
        <v>86</v>
      </c>
      <c r="L141" s="58">
        <v>5.34</v>
      </c>
      <c r="M141" s="59"/>
    </row>
    <row r="142" spans="1:13" ht="15.75" customHeight="1">
      <c r="A142" s="13"/>
      <c r="B142" s="8"/>
      <c r="C142" s="84"/>
      <c r="D142" s="88" t="s">
        <v>23</v>
      </c>
      <c r="E142" s="41" t="s">
        <v>139</v>
      </c>
      <c r="F142" s="50">
        <v>80</v>
      </c>
      <c r="G142" s="34">
        <f>F142*2.1/70</f>
        <v>2.4</v>
      </c>
      <c r="H142" s="34">
        <f>F142*4.4/70</f>
        <v>5.0285714285714285</v>
      </c>
      <c r="I142" s="34">
        <f>F142*16.3/70</f>
        <v>18.62857142857143</v>
      </c>
      <c r="J142" s="34">
        <f>F142*113.2/70</f>
        <v>129.37142857142857</v>
      </c>
      <c r="K142" s="47" t="s">
        <v>68</v>
      </c>
      <c r="L142" s="58">
        <v>14</v>
      </c>
      <c r="M142" s="59"/>
    </row>
    <row r="143" spans="1:13" ht="15.75">
      <c r="A143" s="13"/>
      <c r="B143" s="8"/>
      <c r="C143" s="84"/>
      <c r="D143" s="88" t="s">
        <v>23</v>
      </c>
      <c r="E143" s="33" t="s">
        <v>40</v>
      </c>
      <c r="F143" s="39">
        <v>35</v>
      </c>
      <c r="G143" s="39">
        <f>SUM(F143*1.68/30)</f>
        <v>1.96</v>
      </c>
      <c r="H143" s="39">
        <f>SUM(F143*0.33/30)</f>
        <v>0.38500000000000001</v>
      </c>
      <c r="I143" s="39">
        <f>SUM(F143*14.82/30)</f>
        <v>17.290000000000003</v>
      </c>
      <c r="J143" s="39">
        <f>SUM(F143*68.97/30)</f>
        <v>80.464999999999989</v>
      </c>
      <c r="K143" s="47">
        <v>45228</v>
      </c>
      <c r="L143" s="58">
        <v>2.68</v>
      </c>
      <c r="M143" s="59"/>
    </row>
    <row r="144" spans="1:13" ht="15.75">
      <c r="A144" s="13"/>
      <c r="B144" s="8"/>
      <c r="C144" s="84"/>
      <c r="D144" s="85"/>
      <c r="E144" s="38"/>
      <c r="F144" s="39"/>
      <c r="G144" s="39"/>
      <c r="H144" s="39"/>
      <c r="I144" s="39"/>
      <c r="J144" s="39"/>
      <c r="K144" s="56"/>
      <c r="L144" s="58"/>
      <c r="M144" s="59"/>
    </row>
    <row r="145" spans="1:13" ht="15.75">
      <c r="A145" s="13"/>
      <c r="B145" s="8"/>
      <c r="C145" s="84"/>
      <c r="D145" s="85"/>
      <c r="E145" s="86"/>
      <c r="F145" s="58"/>
      <c r="G145" s="58"/>
      <c r="H145" s="58"/>
      <c r="I145" s="58"/>
      <c r="J145" s="58"/>
      <c r="K145" s="56"/>
      <c r="L145" s="58"/>
      <c r="M145" s="59"/>
    </row>
    <row r="146" spans="1:13" ht="15.75">
      <c r="A146" s="14"/>
      <c r="B146" s="10"/>
      <c r="C146" s="89"/>
      <c r="D146" s="90" t="s">
        <v>32</v>
      </c>
      <c r="E146" s="91"/>
      <c r="F146" s="60">
        <f>SUM(F139:F145)</f>
        <v>500</v>
      </c>
      <c r="G146" s="60">
        <f t="shared" ref="G146:J146" si="70">SUM(G139:G145)</f>
        <v>35.725000000000001</v>
      </c>
      <c r="H146" s="60">
        <f t="shared" si="70"/>
        <v>23.173571428571432</v>
      </c>
      <c r="I146" s="60">
        <f t="shared" si="70"/>
        <v>70.238571428571433</v>
      </c>
      <c r="J146" s="60">
        <f t="shared" si="70"/>
        <v>632.78642857142859</v>
      </c>
      <c r="K146" s="99"/>
      <c r="L146" s="60">
        <f>SUM(L139:L145)</f>
        <v>111.07000000000001</v>
      </c>
      <c r="M146" s="59"/>
    </row>
    <row r="147" spans="1:13" ht="15.75">
      <c r="A147" s="15">
        <f>A139</f>
        <v>2</v>
      </c>
      <c r="B147" s="6">
        <f>B139</f>
        <v>3</v>
      </c>
      <c r="C147" s="93" t="s">
        <v>24</v>
      </c>
      <c r="D147" s="88" t="s">
        <v>25</v>
      </c>
      <c r="E147" s="73" t="s">
        <v>141</v>
      </c>
      <c r="F147" s="39">
        <v>60</v>
      </c>
      <c r="G147" s="34">
        <f>F147*0.5/50</f>
        <v>0.6</v>
      </c>
      <c r="H147" s="34">
        <f>F147*6.06/50</f>
        <v>7.2719999999999994</v>
      </c>
      <c r="I147" s="34">
        <f>F147*1/50</f>
        <v>1.2</v>
      </c>
      <c r="J147" s="34">
        <f>F147*60.54/50</f>
        <v>72.647999999999996</v>
      </c>
      <c r="K147" s="44" t="s">
        <v>142</v>
      </c>
      <c r="L147" s="58">
        <v>5.08</v>
      </c>
      <c r="M147" s="59"/>
    </row>
    <row r="148" spans="1:13" ht="15.75">
      <c r="A148" s="13"/>
      <c r="B148" s="8"/>
      <c r="C148" s="84"/>
      <c r="D148" s="88" t="s">
        <v>26</v>
      </c>
      <c r="E148" s="41" t="s">
        <v>87</v>
      </c>
      <c r="F148" s="34">
        <v>200</v>
      </c>
      <c r="G148" s="34">
        <f>F148*2.4/250+0.2</f>
        <v>2.12</v>
      </c>
      <c r="H148" s="34">
        <f>F148*4.8/250</f>
        <v>3.84</v>
      </c>
      <c r="I148" s="34">
        <f>F148*7.6/250+0.4</f>
        <v>6.48</v>
      </c>
      <c r="J148" s="34">
        <f>F148*83/250+3</f>
        <v>69.400000000000006</v>
      </c>
      <c r="K148" s="44" t="s">
        <v>89</v>
      </c>
      <c r="L148" s="58">
        <v>17.617896000000002</v>
      </c>
      <c r="M148" s="59"/>
    </row>
    <row r="149" spans="1:13" ht="15.75">
      <c r="A149" s="13"/>
      <c r="B149" s="8"/>
      <c r="C149" s="84"/>
      <c r="D149" s="88" t="s">
        <v>27</v>
      </c>
      <c r="E149" s="36" t="s">
        <v>88</v>
      </c>
      <c r="F149" s="31">
        <v>90</v>
      </c>
      <c r="G149" s="34">
        <f>F149*11.68/90</f>
        <v>11.68</v>
      </c>
      <c r="H149" s="34">
        <f>F149*11.61/90</f>
        <v>11.609999999999998</v>
      </c>
      <c r="I149" s="34">
        <f>F149*5.76/90</f>
        <v>5.76</v>
      </c>
      <c r="J149" s="34">
        <f>F149*175/90</f>
        <v>175</v>
      </c>
      <c r="K149" s="44" t="s">
        <v>90</v>
      </c>
      <c r="L149" s="58">
        <v>68.650861500000005</v>
      </c>
      <c r="M149" s="59"/>
    </row>
    <row r="150" spans="1:13" ht="15.75">
      <c r="A150" s="13"/>
      <c r="B150" s="8"/>
      <c r="C150" s="84"/>
      <c r="D150" s="88" t="s">
        <v>28</v>
      </c>
      <c r="E150" s="40" t="s">
        <v>54</v>
      </c>
      <c r="F150" s="34">
        <v>150</v>
      </c>
      <c r="G150" s="34">
        <f>F150*6.63/150</f>
        <v>6.63</v>
      </c>
      <c r="H150" s="34">
        <f>F150*4.44/150</f>
        <v>4.4400000000000004</v>
      </c>
      <c r="I150" s="34">
        <f>F150*28.8/150</f>
        <v>28.8</v>
      </c>
      <c r="J150" s="34">
        <f>F150*181.5/150</f>
        <v>181.5</v>
      </c>
      <c r="K150" s="34" t="s">
        <v>91</v>
      </c>
      <c r="L150" s="58">
        <v>7.693957499999998</v>
      </c>
      <c r="M150" s="59"/>
    </row>
    <row r="151" spans="1:13" ht="15.75">
      <c r="A151" s="13"/>
      <c r="B151" s="8"/>
      <c r="C151" s="84"/>
      <c r="D151" s="88" t="s">
        <v>29</v>
      </c>
      <c r="E151" s="40" t="s">
        <v>61</v>
      </c>
      <c r="F151" s="34">
        <v>200</v>
      </c>
      <c r="G151" s="34">
        <v>0</v>
      </c>
      <c r="H151" s="34">
        <v>0</v>
      </c>
      <c r="I151" s="34">
        <v>27.8</v>
      </c>
      <c r="J151" s="34">
        <v>111</v>
      </c>
      <c r="K151" s="44" t="s">
        <v>92</v>
      </c>
      <c r="L151" s="58">
        <v>5.3920000000000003</v>
      </c>
      <c r="M151" s="59"/>
    </row>
    <row r="152" spans="1:13" ht="15.75">
      <c r="A152" s="13"/>
      <c r="B152" s="8"/>
      <c r="C152" s="84"/>
      <c r="D152" s="88" t="s">
        <v>30</v>
      </c>
      <c r="E152" s="35" t="s">
        <v>45</v>
      </c>
      <c r="F152" s="34">
        <v>50</v>
      </c>
      <c r="G152" s="34">
        <f>SUM(F152*2.37/30)</f>
        <v>3.95</v>
      </c>
      <c r="H152" s="34">
        <f>SUM(F152*0.3/30)</f>
        <v>0.5</v>
      </c>
      <c r="I152" s="34">
        <f>SUM(F152*14.49/30)</f>
        <v>24.15</v>
      </c>
      <c r="J152" s="34">
        <f>SUM(F152*70.14/30)</f>
        <v>116.9</v>
      </c>
      <c r="K152" s="47" t="s">
        <v>68</v>
      </c>
      <c r="L152" s="58">
        <v>4.2</v>
      </c>
      <c r="M152" s="59"/>
    </row>
    <row r="153" spans="1:13" ht="15.75">
      <c r="A153" s="13"/>
      <c r="B153" s="8"/>
      <c r="C153" s="84"/>
      <c r="D153" s="88" t="s">
        <v>31</v>
      </c>
      <c r="E153" s="33" t="s">
        <v>40</v>
      </c>
      <c r="F153" s="34">
        <v>32</v>
      </c>
      <c r="G153" s="34">
        <f>SUM(F153*1.68/30)</f>
        <v>1.792</v>
      </c>
      <c r="H153" s="34">
        <f>SUM(F153*0.33/30)</f>
        <v>0.35200000000000004</v>
      </c>
      <c r="I153" s="34">
        <f>SUM(F153*14.82/30)</f>
        <v>15.808</v>
      </c>
      <c r="J153" s="34">
        <f>SUM(F153*68.97/30)</f>
        <v>73.567999999999998</v>
      </c>
      <c r="K153" s="47" t="s">
        <v>69</v>
      </c>
      <c r="L153" s="58">
        <v>2.44</v>
      </c>
      <c r="M153" s="59"/>
    </row>
    <row r="154" spans="1:13" ht="15.75">
      <c r="A154" s="13"/>
      <c r="B154" s="8"/>
      <c r="C154" s="84"/>
      <c r="D154" s="85"/>
      <c r="E154" s="86"/>
      <c r="F154" s="58"/>
      <c r="G154" s="58"/>
      <c r="H154" s="58"/>
      <c r="I154" s="58"/>
      <c r="J154" s="58"/>
      <c r="K154" s="56"/>
      <c r="L154" s="58"/>
      <c r="M154" s="59"/>
    </row>
    <row r="155" spans="1:13" ht="15.75">
      <c r="A155" s="13"/>
      <c r="B155" s="8"/>
      <c r="C155" s="84"/>
      <c r="D155" s="85"/>
      <c r="E155" s="86"/>
      <c r="F155" s="58"/>
      <c r="G155" s="58"/>
      <c r="H155" s="58"/>
      <c r="I155" s="58"/>
      <c r="J155" s="58"/>
      <c r="K155" s="56"/>
      <c r="L155" s="58"/>
      <c r="M155" s="59"/>
    </row>
    <row r="156" spans="1:13" ht="15.75">
      <c r="A156" s="14"/>
      <c r="B156" s="10"/>
      <c r="C156" s="89"/>
      <c r="D156" s="90" t="s">
        <v>32</v>
      </c>
      <c r="E156" s="91"/>
      <c r="F156" s="60">
        <f>SUM(F147:F155)</f>
        <v>782</v>
      </c>
      <c r="G156" s="60">
        <f t="shared" ref="G156:J156" si="71">SUM(G147:G155)</f>
        <v>26.772000000000002</v>
      </c>
      <c r="H156" s="60">
        <f t="shared" si="71"/>
        <v>28.013999999999996</v>
      </c>
      <c r="I156" s="60">
        <f t="shared" si="71"/>
        <v>109.99799999999999</v>
      </c>
      <c r="J156" s="60">
        <f t="shared" si="71"/>
        <v>800.01599999999996</v>
      </c>
      <c r="K156" s="57"/>
      <c r="L156" s="60">
        <f t="shared" ref="L156" si="72">SUM(L147:L155)</f>
        <v>111.074715</v>
      </c>
      <c r="M156" s="59"/>
    </row>
    <row r="157" spans="1:13" ht="16.5" thickBot="1">
      <c r="A157" s="18">
        <f>A139</f>
        <v>2</v>
      </c>
      <c r="B157" s="19">
        <f>B139</f>
        <v>3</v>
      </c>
      <c r="C157" s="105" t="s">
        <v>4</v>
      </c>
      <c r="D157" s="106"/>
      <c r="E157" s="94"/>
      <c r="F157" s="96">
        <f>F146+F156</f>
        <v>1282</v>
      </c>
      <c r="G157" s="96">
        <f t="shared" ref="G157" si="73">G146+G156</f>
        <v>62.497</v>
      </c>
      <c r="H157" s="96">
        <f t="shared" ref="H157" si="74">H146+H156</f>
        <v>51.187571428571431</v>
      </c>
      <c r="I157" s="96">
        <f t="shared" ref="I157" si="75">I146+I156</f>
        <v>180.23657142857144</v>
      </c>
      <c r="J157" s="96">
        <f t="shared" ref="J157" si="76">J146+J156</f>
        <v>1432.8024285714287</v>
      </c>
      <c r="K157" s="95"/>
      <c r="L157" s="96">
        <f>L146+L156</f>
        <v>222.14471500000002</v>
      </c>
      <c r="M157" s="59"/>
    </row>
    <row r="158" spans="1:13" ht="15.75">
      <c r="A158" s="11">
        <v>2</v>
      </c>
      <c r="B158" s="12">
        <v>4</v>
      </c>
      <c r="C158" s="82" t="s">
        <v>20</v>
      </c>
      <c r="D158" s="83" t="s">
        <v>21</v>
      </c>
      <c r="E158" s="35" t="s">
        <v>38</v>
      </c>
      <c r="F158" s="50">
        <v>250</v>
      </c>
      <c r="G158" s="34">
        <f>F158*5.4/200</f>
        <v>6.75</v>
      </c>
      <c r="H158" s="34">
        <f>F158*10.1/200</f>
        <v>12.625</v>
      </c>
      <c r="I158" s="34">
        <f>F158*25.66/200</f>
        <v>32.075000000000003</v>
      </c>
      <c r="J158" s="34">
        <f>F158*215.14/200</f>
        <v>268.92500000000001</v>
      </c>
      <c r="K158" s="76" t="s">
        <v>143</v>
      </c>
      <c r="L158" s="77">
        <v>30.94</v>
      </c>
      <c r="M158" s="59"/>
    </row>
    <row r="159" spans="1:13" ht="15.75">
      <c r="A159" s="13"/>
      <c r="B159" s="8"/>
      <c r="C159" s="84"/>
      <c r="D159" s="85" t="s">
        <v>25</v>
      </c>
      <c r="E159" s="38"/>
      <c r="F159" s="39"/>
      <c r="G159" s="39"/>
      <c r="H159" s="39"/>
      <c r="I159" s="39"/>
      <c r="J159" s="39"/>
      <c r="K159" s="56"/>
      <c r="L159" s="58"/>
      <c r="M159" s="59"/>
    </row>
    <row r="160" spans="1:13" ht="15.75">
      <c r="A160" s="13"/>
      <c r="B160" s="8"/>
      <c r="C160" s="84"/>
      <c r="D160" s="88" t="s">
        <v>22</v>
      </c>
      <c r="E160" s="34" t="s">
        <v>57</v>
      </c>
      <c r="F160" s="34">
        <v>200</v>
      </c>
      <c r="G160" s="34">
        <v>3.5</v>
      </c>
      <c r="H160" s="34">
        <v>3.4</v>
      </c>
      <c r="I160" s="34">
        <v>22.3</v>
      </c>
      <c r="J160" s="34">
        <v>133</v>
      </c>
      <c r="K160" s="56" t="s">
        <v>86</v>
      </c>
      <c r="L160" s="58">
        <v>15.06</v>
      </c>
      <c r="M160" s="59"/>
    </row>
    <row r="161" spans="1:13" ht="15.75">
      <c r="A161" s="13"/>
      <c r="B161" s="8"/>
      <c r="C161" s="84"/>
      <c r="D161" s="88" t="s">
        <v>23</v>
      </c>
      <c r="E161" s="34" t="s">
        <v>65</v>
      </c>
      <c r="F161" s="34">
        <v>60</v>
      </c>
      <c r="G161" s="34">
        <f>SUM(F161*6.1/50)</f>
        <v>7.32</v>
      </c>
      <c r="H161" s="34">
        <f>SUM(F161*3.7/50)</f>
        <v>4.4400000000000004</v>
      </c>
      <c r="I161" s="34">
        <f>SUM(F161*17.5/50)</f>
        <v>21</v>
      </c>
      <c r="J161" s="34">
        <f>SUM(F161*130/50)</f>
        <v>156</v>
      </c>
      <c r="K161" s="56">
        <v>44240</v>
      </c>
      <c r="L161" s="58">
        <v>28.02</v>
      </c>
      <c r="M161" s="59"/>
    </row>
    <row r="162" spans="1:13" ht="15.75">
      <c r="A162" s="13"/>
      <c r="B162" s="8"/>
      <c r="C162" s="84"/>
      <c r="D162" s="88" t="s">
        <v>23</v>
      </c>
      <c r="E162" s="33" t="s">
        <v>40</v>
      </c>
      <c r="F162" s="34">
        <v>31</v>
      </c>
      <c r="G162" s="34">
        <f>SUM(F162*1.68/30)</f>
        <v>1.736</v>
      </c>
      <c r="H162" s="34">
        <f>SUM(F162*0.33/30)</f>
        <v>0.34100000000000003</v>
      </c>
      <c r="I162" s="34">
        <f>SUM(F162*14.82/30)</f>
        <v>15.314</v>
      </c>
      <c r="J162" s="34">
        <f>SUM(F162*68.97/30)</f>
        <v>71.269000000000005</v>
      </c>
      <c r="K162" s="56" t="s">
        <v>68</v>
      </c>
      <c r="L162" s="58">
        <v>2.37</v>
      </c>
      <c r="M162" s="59"/>
    </row>
    <row r="163" spans="1:13" ht="15.75">
      <c r="A163" s="13"/>
      <c r="B163" s="8"/>
      <c r="C163" s="84"/>
      <c r="D163" s="85"/>
      <c r="E163" s="54" t="s">
        <v>100</v>
      </c>
      <c r="F163" s="34">
        <v>50</v>
      </c>
      <c r="G163" s="34">
        <v>13.7</v>
      </c>
      <c r="H163" s="34">
        <v>15.8</v>
      </c>
      <c r="I163" s="34">
        <v>5.8</v>
      </c>
      <c r="J163" s="34">
        <v>220</v>
      </c>
      <c r="K163" s="56" t="s">
        <v>104</v>
      </c>
      <c r="L163" s="58">
        <v>34.68</v>
      </c>
      <c r="M163" s="59"/>
    </row>
    <row r="164" spans="1:13" ht="15.75">
      <c r="A164" s="13"/>
      <c r="B164" s="8"/>
      <c r="C164" s="84"/>
      <c r="D164" s="85"/>
      <c r="E164" s="86"/>
      <c r="F164" s="58"/>
      <c r="G164" s="58"/>
      <c r="H164" s="58"/>
      <c r="I164" s="58"/>
      <c r="J164" s="58"/>
      <c r="K164" s="56"/>
      <c r="L164" s="58"/>
      <c r="M164" s="59"/>
    </row>
    <row r="165" spans="1:13" ht="15.75">
      <c r="A165" s="14"/>
      <c r="B165" s="10"/>
      <c r="C165" s="89"/>
      <c r="D165" s="90" t="s">
        <v>32</v>
      </c>
      <c r="E165" s="91"/>
      <c r="F165" s="60">
        <f>SUM(F158:F164)</f>
        <v>591</v>
      </c>
      <c r="G165" s="60">
        <f t="shared" ref="G165:J165" si="77">SUM(G158:G164)</f>
        <v>33.006</v>
      </c>
      <c r="H165" s="60">
        <f t="shared" si="77"/>
        <v>36.606000000000002</v>
      </c>
      <c r="I165" s="60">
        <f t="shared" si="77"/>
        <v>96.48899999999999</v>
      </c>
      <c r="J165" s="60">
        <f t="shared" si="77"/>
        <v>849.19399999999996</v>
      </c>
      <c r="K165" s="57"/>
      <c r="L165" s="60">
        <f t="shared" ref="L165" si="78">SUM(L158:L164)</f>
        <v>111.07</v>
      </c>
      <c r="M165" s="59"/>
    </row>
    <row r="166" spans="1:13" ht="31.5">
      <c r="A166" s="15">
        <f>A158</f>
        <v>2</v>
      </c>
      <c r="B166" s="6">
        <f>B158</f>
        <v>4</v>
      </c>
      <c r="C166" s="93" t="s">
        <v>24</v>
      </c>
      <c r="D166" s="88" t="s">
        <v>25</v>
      </c>
      <c r="E166" s="41" t="s">
        <v>126</v>
      </c>
      <c r="F166" s="34">
        <v>60</v>
      </c>
      <c r="G166" s="34">
        <f>F166*0.6/50</f>
        <v>0.72</v>
      </c>
      <c r="H166" s="34">
        <f>F166*5/50</f>
        <v>6</v>
      </c>
      <c r="I166" s="34">
        <f>F166*1.9/50</f>
        <v>2.2799999999999998</v>
      </c>
      <c r="J166" s="34">
        <f>F166*57/50</f>
        <v>68.400000000000006</v>
      </c>
      <c r="K166" s="44" t="s">
        <v>127</v>
      </c>
      <c r="L166" s="58">
        <v>15.18</v>
      </c>
      <c r="M166" s="59"/>
    </row>
    <row r="167" spans="1:13" ht="31.5">
      <c r="A167" s="13"/>
      <c r="B167" s="8"/>
      <c r="C167" s="84"/>
      <c r="D167" s="88" t="s">
        <v>26</v>
      </c>
      <c r="E167" s="41" t="s">
        <v>93</v>
      </c>
      <c r="F167" s="34">
        <v>200</v>
      </c>
      <c r="G167" s="34">
        <f>F167*2/200</f>
        <v>2</v>
      </c>
      <c r="H167" s="34">
        <f>F167*2.4/200</f>
        <v>2.4</v>
      </c>
      <c r="I167" s="34">
        <f>F167*24.7/200</f>
        <v>24.7</v>
      </c>
      <c r="J167" s="34">
        <f>F167*128.4/200</f>
        <v>128.4</v>
      </c>
      <c r="K167" s="44" t="s">
        <v>97</v>
      </c>
      <c r="L167" s="58">
        <v>10.053824000000001</v>
      </c>
      <c r="M167" s="59"/>
    </row>
    <row r="168" spans="1:13" ht="15.75">
      <c r="A168" s="13"/>
      <c r="B168" s="8"/>
      <c r="C168" s="84"/>
      <c r="D168" s="88" t="s">
        <v>27</v>
      </c>
      <c r="E168" s="37" t="s">
        <v>94</v>
      </c>
      <c r="F168" s="34">
        <v>95</v>
      </c>
      <c r="G168" s="34">
        <f>F168*13.32/90</f>
        <v>14.06</v>
      </c>
      <c r="H168" s="34">
        <f>F168*11.16/90</f>
        <v>11.780000000000001</v>
      </c>
      <c r="I168" s="34">
        <f>F168*8.19/90</f>
        <v>8.6449999999999996</v>
      </c>
      <c r="J168" s="34">
        <f>F168*186.3/90</f>
        <v>196.65</v>
      </c>
      <c r="K168" s="44">
        <v>44325</v>
      </c>
      <c r="L168" s="58">
        <v>59.267236749999988</v>
      </c>
      <c r="M168" s="59"/>
    </row>
    <row r="169" spans="1:13" ht="15.75">
      <c r="A169" s="13"/>
      <c r="B169" s="8"/>
      <c r="C169" s="84"/>
      <c r="D169" s="88" t="s">
        <v>28</v>
      </c>
      <c r="E169" s="40" t="s">
        <v>95</v>
      </c>
      <c r="F169" s="34">
        <v>150</v>
      </c>
      <c r="G169" s="34">
        <f>F169*4.2/150</f>
        <v>4.2</v>
      </c>
      <c r="H169" s="34">
        <f>F169*2.9/150</f>
        <v>2.9</v>
      </c>
      <c r="I169" s="34">
        <f>F169*22.42/150</f>
        <v>22.42</v>
      </c>
      <c r="J169" s="34">
        <f>F169*131.74/150</f>
        <v>131.74</v>
      </c>
      <c r="K169" s="44" t="s">
        <v>98</v>
      </c>
      <c r="L169" s="58">
        <v>7.840533333333334</v>
      </c>
      <c r="M169" s="59"/>
    </row>
    <row r="170" spans="1:13" ht="15.75">
      <c r="A170" s="13"/>
      <c r="B170" s="8"/>
      <c r="C170" s="84"/>
      <c r="D170" s="88" t="s">
        <v>29</v>
      </c>
      <c r="E170" s="34" t="s">
        <v>96</v>
      </c>
      <c r="F170" s="34">
        <v>200</v>
      </c>
      <c r="G170" s="34">
        <v>0.2</v>
      </c>
      <c r="H170" s="34">
        <v>0.2</v>
      </c>
      <c r="I170" s="34">
        <v>16.8</v>
      </c>
      <c r="J170" s="34">
        <v>70</v>
      </c>
      <c r="K170" s="44">
        <v>44296</v>
      </c>
      <c r="L170" s="58">
        <v>13.0976</v>
      </c>
      <c r="M170" s="59"/>
    </row>
    <row r="171" spans="1:13" ht="15.75">
      <c r="A171" s="13"/>
      <c r="B171" s="8"/>
      <c r="C171" s="84"/>
      <c r="D171" s="88" t="s">
        <v>30</v>
      </c>
      <c r="E171" s="35" t="s">
        <v>45</v>
      </c>
      <c r="F171" s="34">
        <v>40</v>
      </c>
      <c r="G171" s="34">
        <f>SUM(F171*2.37/30)</f>
        <v>3.1600000000000006</v>
      </c>
      <c r="H171" s="34">
        <f>SUM(F171*0.3/30)</f>
        <v>0.4</v>
      </c>
      <c r="I171" s="34">
        <f>SUM(F171*14.49/30)</f>
        <v>19.32</v>
      </c>
      <c r="J171" s="34">
        <f>SUM(F171*70.14/30)</f>
        <v>93.52</v>
      </c>
      <c r="K171" s="47" t="s">
        <v>68</v>
      </c>
      <c r="L171" s="58">
        <v>3.33</v>
      </c>
      <c r="M171" s="59"/>
    </row>
    <row r="172" spans="1:13" ht="15.75">
      <c r="A172" s="13"/>
      <c r="B172" s="8"/>
      <c r="C172" s="84"/>
      <c r="D172" s="88" t="s">
        <v>31</v>
      </c>
      <c r="E172" s="33" t="s">
        <v>40</v>
      </c>
      <c r="F172" s="34">
        <v>30</v>
      </c>
      <c r="G172" s="34">
        <f>SUM(F172*1.68/30)</f>
        <v>1.68</v>
      </c>
      <c r="H172" s="34">
        <f>SUM(F172*0.33/30)</f>
        <v>0.33</v>
      </c>
      <c r="I172" s="34">
        <f>SUM(F172*14.82/30)</f>
        <v>14.82</v>
      </c>
      <c r="J172" s="34">
        <f>SUM(F172*68.97/30)</f>
        <v>68.97</v>
      </c>
      <c r="K172" s="47" t="s">
        <v>69</v>
      </c>
      <c r="L172" s="58">
        <v>2.2999999999999998</v>
      </c>
      <c r="M172" s="59"/>
    </row>
    <row r="173" spans="1:13" ht="15.75">
      <c r="A173" s="13"/>
      <c r="B173" s="8"/>
      <c r="C173" s="84"/>
      <c r="D173" s="85"/>
      <c r="E173" s="86"/>
      <c r="F173" s="58"/>
      <c r="G173" s="58"/>
      <c r="H173" s="58"/>
      <c r="I173" s="58"/>
      <c r="J173" s="58"/>
      <c r="K173" s="56"/>
      <c r="L173" s="58"/>
      <c r="M173" s="59"/>
    </row>
    <row r="174" spans="1:13" ht="15.75">
      <c r="A174" s="13"/>
      <c r="B174" s="8"/>
      <c r="C174" s="84"/>
      <c r="D174" s="85"/>
      <c r="E174" s="86"/>
      <c r="F174" s="58"/>
      <c r="G174" s="58"/>
      <c r="H174" s="58"/>
      <c r="I174" s="58"/>
      <c r="J174" s="58"/>
      <c r="K174" s="56"/>
      <c r="L174" s="58"/>
      <c r="M174" s="59"/>
    </row>
    <row r="175" spans="1:13" ht="15.75">
      <c r="A175" s="14"/>
      <c r="B175" s="10"/>
      <c r="C175" s="89"/>
      <c r="D175" s="90" t="s">
        <v>32</v>
      </c>
      <c r="E175" s="91"/>
      <c r="F175" s="60">
        <f>SUM(F166:F174)</f>
        <v>775</v>
      </c>
      <c r="G175" s="60">
        <f t="shared" ref="G175:J175" si="79">SUM(G166:G174)</f>
        <v>26.02</v>
      </c>
      <c r="H175" s="60">
        <f t="shared" si="79"/>
        <v>24.009999999999994</v>
      </c>
      <c r="I175" s="60">
        <f t="shared" si="79"/>
        <v>108.98499999999999</v>
      </c>
      <c r="J175" s="60">
        <f t="shared" si="79"/>
        <v>757.68000000000006</v>
      </c>
      <c r="K175" s="99"/>
      <c r="L175" s="60">
        <f t="shared" ref="L175" si="80">SUM(L166:L174)</f>
        <v>111.06919408333333</v>
      </c>
      <c r="M175" s="59"/>
    </row>
    <row r="176" spans="1:13" ht="16.5" thickBot="1">
      <c r="A176" s="18">
        <f>A158</f>
        <v>2</v>
      </c>
      <c r="B176" s="19">
        <f>B158</f>
        <v>4</v>
      </c>
      <c r="C176" s="105" t="s">
        <v>4</v>
      </c>
      <c r="D176" s="106"/>
      <c r="E176" s="94"/>
      <c r="F176" s="96">
        <f>F165+F175</f>
        <v>1366</v>
      </c>
      <c r="G176" s="96">
        <f t="shared" ref="G176" si="81">G165+G175</f>
        <v>59.025999999999996</v>
      </c>
      <c r="H176" s="96">
        <f t="shared" ref="H176" si="82">H165+H175</f>
        <v>60.616</v>
      </c>
      <c r="I176" s="96">
        <f t="shared" ref="I176" si="83">I165+I175</f>
        <v>205.47399999999999</v>
      </c>
      <c r="J176" s="96">
        <f t="shared" ref="J176:L176" si="84">J165+J175</f>
        <v>1606.874</v>
      </c>
      <c r="K176" s="96"/>
      <c r="L176" s="96">
        <f t="shared" si="84"/>
        <v>222.13919408333334</v>
      </c>
      <c r="M176" s="59"/>
    </row>
    <row r="177" spans="1:13" ht="15.75">
      <c r="A177" s="11">
        <v>2</v>
      </c>
      <c r="B177" s="12">
        <v>5</v>
      </c>
      <c r="C177" s="82" t="s">
        <v>20</v>
      </c>
      <c r="D177" s="83" t="s">
        <v>21</v>
      </c>
      <c r="E177" s="74" t="s">
        <v>144</v>
      </c>
      <c r="F177" s="42">
        <v>200</v>
      </c>
      <c r="G177" s="39">
        <f>F177*8.92/250</f>
        <v>7.1360000000000001</v>
      </c>
      <c r="H177" s="39">
        <f>F177*12.3/250</f>
        <v>9.84</v>
      </c>
      <c r="I177" s="39">
        <f>F177*25.63/250</f>
        <v>20.504000000000001</v>
      </c>
      <c r="J177" s="39">
        <f>F177*248.9/250</f>
        <v>199.12</v>
      </c>
      <c r="K177" s="44" t="s">
        <v>145</v>
      </c>
      <c r="L177" s="53">
        <v>31.67</v>
      </c>
      <c r="M177" s="59"/>
    </row>
    <row r="178" spans="1:13" ht="15.75">
      <c r="A178" s="13"/>
      <c r="B178" s="8"/>
      <c r="C178" s="84"/>
      <c r="D178" s="85" t="s">
        <v>28</v>
      </c>
      <c r="E178" s="33"/>
      <c r="F178" s="31"/>
      <c r="G178" s="34"/>
      <c r="H178" s="34"/>
      <c r="I178" s="34"/>
      <c r="J178" s="34"/>
      <c r="K178" s="47"/>
      <c r="L178" s="53"/>
      <c r="M178" s="59"/>
    </row>
    <row r="179" spans="1:13" ht="15.75">
      <c r="A179" s="13"/>
      <c r="B179" s="8"/>
      <c r="C179" s="84"/>
      <c r="D179" s="88" t="s">
        <v>29</v>
      </c>
      <c r="E179" s="36" t="s">
        <v>123</v>
      </c>
      <c r="F179" s="39">
        <v>200</v>
      </c>
      <c r="G179" s="39">
        <v>1.5</v>
      </c>
      <c r="H179" s="39">
        <v>1.6</v>
      </c>
      <c r="I179" s="39">
        <v>12.1</v>
      </c>
      <c r="J179" s="39">
        <v>69</v>
      </c>
      <c r="K179" s="52" t="s">
        <v>146</v>
      </c>
      <c r="L179" s="53">
        <v>8.98</v>
      </c>
      <c r="M179" s="59"/>
    </row>
    <row r="180" spans="1:13" ht="15.75">
      <c r="A180" s="13"/>
      <c r="B180" s="8"/>
      <c r="C180" s="84"/>
      <c r="D180" s="88" t="s">
        <v>23</v>
      </c>
      <c r="E180" s="39" t="s">
        <v>65</v>
      </c>
      <c r="F180" s="39">
        <v>60</v>
      </c>
      <c r="G180" s="39">
        <f>SUM(F180*6.1/50)</f>
        <v>7.32</v>
      </c>
      <c r="H180" s="39">
        <f>SUM(F180*3.7/50)</f>
        <v>4.4400000000000004</v>
      </c>
      <c r="I180" s="39">
        <f>SUM(F180*17.5/50)</f>
        <v>21</v>
      </c>
      <c r="J180" s="39">
        <f>SUM(F180*130/50)</f>
        <v>156</v>
      </c>
      <c r="K180" s="47">
        <v>44240</v>
      </c>
      <c r="L180" s="53">
        <v>28.02</v>
      </c>
      <c r="M180" s="59"/>
    </row>
    <row r="181" spans="1:13" ht="15.75">
      <c r="A181" s="13"/>
      <c r="B181" s="8"/>
      <c r="C181" s="84"/>
      <c r="D181" s="88" t="s">
        <v>23</v>
      </c>
      <c r="E181" s="33" t="s">
        <v>40</v>
      </c>
      <c r="F181" s="34">
        <v>30</v>
      </c>
      <c r="G181" s="34">
        <f>SUM(F181*1.68/30)</f>
        <v>1.68</v>
      </c>
      <c r="H181" s="34">
        <f>SUM(F181*0.33/30)</f>
        <v>0.33</v>
      </c>
      <c r="I181" s="34">
        <f>SUM(F181*14.82/30)</f>
        <v>14.82</v>
      </c>
      <c r="J181" s="34">
        <f>SUM(F181*68.97/30)</f>
        <v>68.97</v>
      </c>
      <c r="K181" s="47" t="s">
        <v>69</v>
      </c>
      <c r="L181" s="53">
        <v>2.2968000000000002</v>
      </c>
      <c r="M181" s="59"/>
    </row>
    <row r="182" spans="1:13" ht="15.75">
      <c r="A182" s="13"/>
      <c r="B182" s="8"/>
      <c r="C182" s="84"/>
      <c r="D182" s="85"/>
      <c r="E182" s="75" t="s">
        <v>72</v>
      </c>
      <c r="F182" s="39">
        <v>40</v>
      </c>
      <c r="G182" s="39">
        <v>5.0999999999999996</v>
      </c>
      <c r="H182" s="39">
        <v>4.68</v>
      </c>
      <c r="I182" s="39">
        <v>0.3</v>
      </c>
      <c r="J182" s="39">
        <v>63</v>
      </c>
      <c r="K182" s="61">
        <v>44202</v>
      </c>
      <c r="L182" s="58">
        <v>12.48</v>
      </c>
      <c r="M182" s="59"/>
    </row>
    <row r="183" spans="1:13" ht="15.75">
      <c r="A183" s="13"/>
      <c r="B183" s="8"/>
      <c r="C183" s="84"/>
      <c r="D183" s="85"/>
      <c r="E183" s="71" t="s">
        <v>41</v>
      </c>
      <c r="F183" s="39">
        <v>200</v>
      </c>
      <c r="G183" s="39">
        <v>0.4</v>
      </c>
      <c r="H183" s="39">
        <v>0.4</v>
      </c>
      <c r="I183" s="39">
        <v>10.95</v>
      </c>
      <c r="J183" s="39">
        <v>49</v>
      </c>
      <c r="K183" s="39" t="s">
        <v>68</v>
      </c>
      <c r="L183" s="58">
        <v>27.62</v>
      </c>
      <c r="M183" s="59"/>
    </row>
    <row r="184" spans="1:13" ht="15.75" customHeight="1">
      <c r="A184" s="14"/>
      <c r="B184" s="10"/>
      <c r="C184" s="89"/>
      <c r="D184" s="90" t="s">
        <v>32</v>
      </c>
      <c r="E184" s="91"/>
      <c r="F184" s="60">
        <f>SUM(F177:F183)</f>
        <v>730</v>
      </c>
      <c r="G184" s="60">
        <f t="shared" ref="G184:J184" si="85">SUM(G177:G183)</f>
        <v>23.135999999999996</v>
      </c>
      <c r="H184" s="60">
        <f t="shared" si="85"/>
        <v>21.289999999999996</v>
      </c>
      <c r="I184" s="60">
        <f t="shared" si="85"/>
        <v>79.674000000000007</v>
      </c>
      <c r="J184" s="60">
        <f t="shared" si="85"/>
        <v>605.09</v>
      </c>
      <c r="K184" s="57"/>
      <c r="L184" s="60">
        <f t="shared" ref="L184" si="86">SUM(L177:L183)</f>
        <v>111.06680000000001</v>
      </c>
      <c r="M184" s="59"/>
    </row>
    <row r="185" spans="1:13" ht="15.75">
      <c r="A185" s="15">
        <f>A177</f>
        <v>2</v>
      </c>
      <c r="B185" s="6">
        <f>B177</f>
        <v>5</v>
      </c>
      <c r="C185" s="93" t="s">
        <v>24</v>
      </c>
      <c r="D185" s="88" t="s">
        <v>25</v>
      </c>
      <c r="E185" s="38" t="s">
        <v>46</v>
      </c>
      <c r="F185" s="34">
        <v>60</v>
      </c>
      <c r="G185" s="39">
        <f>F185*0.32/40</f>
        <v>0.48</v>
      </c>
      <c r="H185" s="39">
        <v>0</v>
      </c>
      <c r="I185" s="39">
        <f>F185*0.96/40</f>
        <v>1.44</v>
      </c>
      <c r="J185" s="39">
        <f>F185*5.12/40</f>
        <v>7.68</v>
      </c>
      <c r="K185" s="44" t="s">
        <v>102</v>
      </c>
      <c r="L185" s="58">
        <v>9.49</v>
      </c>
      <c r="M185" s="59"/>
    </row>
    <row r="186" spans="1:13" ht="15.75">
      <c r="A186" s="13"/>
      <c r="B186" s="8"/>
      <c r="C186" s="84"/>
      <c r="D186" s="88" t="s">
        <v>26</v>
      </c>
      <c r="E186" s="41" t="s">
        <v>108</v>
      </c>
      <c r="F186" s="34">
        <v>200</v>
      </c>
      <c r="G186" s="34">
        <f>F186*2.04/205</f>
        <v>1.9902439024390244</v>
      </c>
      <c r="H186" s="34">
        <f>F186*4.72/205</f>
        <v>4.6048780487804875</v>
      </c>
      <c r="I186" s="34">
        <f>F186*10.96/205</f>
        <v>10.692682926829269</v>
      </c>
      <c r="J186" s="34">
        <f>F186*95/205</f>
        <v>92.682926829268297</v>
      </c>
      <c r="K186" s="44" t="s">
        <v>103</v>
      </c>
      <c r="L186" s="58">
        <v>8.86</v>
      </c>
      <c r="M186" s="59"/>
    </row>
    <row r="187" spans="1:13" ht="15.75">
      <c r="A187" s="13"/>
      <c r="B187" s="8"/>
      <c r="C187" s="84"/>
      <c r="D187" s="88" t="s">
        <v>27</v>
      </c>
      <c r="E187" s="54" t="s">
        <v>100</v>
      </c>
      <c r="F187" s="34">
        <v>100</v>
      </c>
      <c r="G187" s="34">
        <v>13.7</v>
      </c>
      <c r="H187" s="34">
        <v>15.8</v>
      </c>
      <c r="I187" s="34">
        <v>5.8</v>
      </c>
      <c r="J187" s="34">
        <v>220</v>
      </c>
      <c r="K187" s="44" t="s">
        <v>104</v>
      </c>
      <c r="L187" s="58">
        <v>69.36</v>
      </c>
      <c r="M187" s="59"/>
    </row>
    <row r="188" spans="1:13" ht="15.75">
      <c r="A188" s="13"/>
      <c r="B188" s="8"/>
      <c r="C188" s="84"/>
      <c r="D188" s="88" t="s">
        <v>28</v>
      </c>
      <c r="E188" s="40" t="s">
        <v>101</v>
      </c>
      <c r="F188" s="34">
        <v>150</v>
      </c>
      <c r="G188" s="34">
        <f>F188*2.5/150</f>
        <v>2.5</v>
      </c>
      <c r="H188" s="34">
        <f>F188*4/150</f>
        <v>4</v>
      </c>
      <c r="I188" s="34">
        <f>F188*24.6/150</f>
        <v>24.6</v>
      </c>
      <c r="J188" s="39">
        <f>F188*144/150</f>
        <v>144</v>
      </c>
      <c r="K188" s="44" t="s">
        <v>105</v>
      </c>
      <c r="L188" s="58">
        <v>10.25</v>
      </c>
      <c r="M188" s="59"/>
    </row>
    <row r="189" spans="1:13" ht="15.75">
      <c r="A189" s="13"/>
      <c r="B189" s="8"/>
      <c r="C189" s="84"/>
      <c r="D189" s="88" t="s">
        <v>29</v>
      </c>
      <c r="E189" s="34" t="s">
        <v>63</v>
      </c>
      <c r="F189" s="34">
        <v>200</v>
      </c>
      <c r="G189" s="34">
        <v>1</v>
      </c>
      <c r="H189" s="34">
        <v>0.1</v>
      </c>
      <c r="I189" s="34">
        <v>19.8</v>
      </c>
      <c r="J189" s="34">
        <v>84.1</v>
      </c>
      <c r="K189" s="44" t="s">
        <v>106</v>
      </c>
      <c r="L189" s="58">
        <v>6.6879999999999997</v>
      </c>
      <c r="M189" s="59"/>
    </row>
    <row r="190" spans="1:13" ht="15.75">
      <c r="A190" s="13"/>
      <c r="B190" s="8"/>
      <c r="C190" s="84"/>
      <c r="D190" s="88" t="s">
        <v>30</v>
      </c>
      <c r="E190" s="35" t="s">
        <v>45</v>
      </c>
      <c r="F190" s="34">
        <v>40</v>
      </c>
      <c r="G190" s="34">
        <f>SUM(F190*2.37/30)</f>
        <v>3.1600000000000006</v>
      </c>
      <c r="H190" s="34">
        <f>SUM(F190*0.3/30)</f>
        <v>0.4</v>
      </c>
      <c r="I190" s="34">
        <f>SUM(F190*14.49/30)</f>
        <v>19.32</v>
      </c>
      <c r="J190" s="34">
        <f>SUM(F190*70.14/30)</f>
        <v>93.52</v>
      </c>
      <c r="K190" s="47" t="s">
        <v>68</v>
      </c>
      <c r="L190" s="58">
        <v>3.36</v>
      </c>
      <c r="M190" s="59"/>
    </row>
    <row r="191" spans="1:13" ht="15.75">
      <c r="A191" s="13"/>
      <c r="B191" s="8"/>
      <c r="C191" s="84"/>
      <c r="D191" s="88" t="s">
        <v>31</v>
      </c>
      <c r="E191" s="33" t="s">
        <v>40</v>
      </c>
      <c r="F191" s="34">
        <v>40</v>
      </c>
      <c r="G191" s="34">
        <f>SUM(F191*1.68/30)</f>
        <v>2.2400000000000002</v>
      </c>
      <c r="H191" s="34">
        <f>SUM(F191*0.33/30)</f>
        <v>0.44000000000000006</v>
      </c>
      <c r="I191" s="34">
        <f>SUM(F191*14.82/30)</f>
        <v>19.759999999999998</v>
      </c>
      <c r="J191" s="34">
        <f>SUM(F191*68.97/30)</f>
        <v>91.960000000000008</v>
      </c>
      <c r="K191" s="47" t="s">
        <v>69</v>
      </c>
      <c r="L191" s="58">
        <v>3.06</v>
      </c>
      <c r="M191" s="59"/>
    </row>
    <row r="192" spans="1:13" ht="15.75">
      <c r="A192" s="13"/>
      <c r="B192" s="8"/>
      <c r="C192" s="84"/>
      <c r="D192" s="85"/>
      <c r="E192" s="86"/>
      <c r="F192" s="58"/>
      <c r="G192" s="58"/>
      <c r="H192" s="58"/>
      <c r="I192" s="58"/>
      <c r="J192" s="58"/>
      <c r="K192" s="56"/>
      <c r="L192" s="58"/>
      <c r="M192" s="59"/>
    </row>
    <row r="193" spans="1:13" ht="15.75">
      <c r="A193" s="13"/>
      <c r="B193" s="8"/>
      <c r="C193" s="84"/>
      <c r="D193" s="85"/>
      <c r="E193" s="86"/>
      <c r="F193" s="58"/>
      <c r="G193" s="58"/>
      <c r="H193" s="58"/>
      <c r="I193" s="58"/>
      <c r="J193" s="58"/>
      <c r="K193" s="56"/>
      <c r="L193" s="58"/>
      <c r="M193" s="59"/>
    </row>
    <row r="194" spans="1:13" ht="15.75">
      <c r="A194" s="14"/>
      <c r="B194" s="10"/>
      <c r="C194" s="89"/>
      <c r="D194" s="90" t="s">
        <v>32</v>
      </c>
      <c r="E194" s="91"/>
      <c r="F194" s="60">
        <f>SUM(F185:F193)</f>
        <v>790</v>
      </c>
      <c r="G194" s="60">
        <f t="shared" ref="G194:J194" si="87">SUM(G185:G193)</f>
        <v>25.070243902439024</v>
      </c>
      <c r="H194" s="60">
        <f t="shared" si="87"/>
        <v>25.34487804878049</v>
      </c>
      <c r="I194" s="60">
        <f t="shared" si="87"/>
        <v>101.41268292682926</v>
      </c>
      <c r="J194" s="60">
        <f t="shared" si="87"/>
        <v>733.94292682926834</v>
      </c>
      <c r="K194" s="99"/>
      <c r="L194" s="60">
        <f t="shared" ref="L194" si="88">SUM(L185:L193)</f>
        <v>111.06800000000001</v>
      </c>
      <c r="M194" s="59"/>
    </row>
    <row r="195" spans="1:13" ht="15.75">
      <c r="A195" s="18">
        <f>A177</f>
        <v>2</v>
      </c>
      <c r="B195" s="19">
        <f>B177</f>
        <v>5</v>
      </c>
      <c r="C195" s="105" t="s">
        <v>4</v>
      </c>
      <c r="D195" s="106"/>
      <c r="E195" s="94"/>
      <c r="F195" s="96">
        <f>F184+F194</f>
        <v>1520</v>
      </c>
      <c r="G195" s="96">
        <f t="shared" ref="G195" si="89">G184+G194</f>
        <v>48.20624390243902</v>
      </c>
      <c r="H195" s="96">
        <f t="shared" ref="H195" si="90">H184+H194</f>
        <v>46.634878048780486</v>
      </c>
      <c r="I195" s="96">
        <f t="shared" ref="I195" si="91">I184+I194</f>
        <v>181.08668292682927</v>
      </c>
      <c r="J195" s="96">
        <f t="shared" ref="J195" si="92">J184+J194</f>
        <v>1339.0329268292685</v>
      </c>
      <c r="K195" s="96"/>
      <c r="L195" s="96">
        <f>L184+L194+0.01</f>
        <v>222.14480000000003</v>
      </c>
      <c r="M195" s="59"/>
    </row>
    <row r="196" spans="1:13" ht="15.75">
      <c r="A196" s="16"/>
      <c r="B196" s="17"/>
      <c r="C196" s="107" t="s">
        <v>5</v>
      </c>
      <c r="D196" s="107"/>
      <c r="E196" s="107"/>
      <c r="F196" s="100">
        <f>(F24+F43+F62+F81+F100+F119+F138+F157+F176+F195)/(IF(F24=0,0,1)+IF(F43=0,0,1)+IF(F62=0,0,1)+IF(F81=0,0,1)+IF(F100=0,0,1)+IF(F119=0,0,1)+IF(F138=0,0,1)+IF(F157=0,0,1)+IF(F176=0,0,1)+IF(F195=0,0,1))</f>
        <v>1403.7</v>
      </c>
      <c r="G196" s="100">
        <f t="shared" ref="G196:J196" si="93">(G24+G43+G62+G81+G100+G119+G138+G157+G176+G195)/(IF(G24=0,0,1)+IF(G43=0,0,1)+IF(G62=0,0,1)+IF(G81=0,0,1)+IF(G100=0,0,1)+IF(G119=0,0,1)+IF(G138=0,0,1)+IF(G157=0,0,1)+IF(G176=0,0,1)+IF(G195=0,0,1))</f>
        <v>57.153858805422225</v>
      </c>
      <c r="H196" s="100">
        <f t="shared" si="93"/>
        <v>54.175109961583132</v>
      </c>
      <c r="I196" s="100">
        <f t="shared" si="93"/>
        <v>196.16640972929511</v>
      </c>
      <c r="J196" s="100">
        <f t="shared" si="93"/>
        <v>1502.9725227284912</v>
      </c>
      <c r="K196" s="101"/>
      <c r="L196" s="100">
        <f t="shared" ref="L196" si="94">(L24+L43+L62+L81+L100+L119+L138+L157+L176+L195)/(IF(L24=0,0,1)+IF(L43=0,0,1)+IF(L62=0,0,1)+IF(L81=0,0,1)+IF(L100=0,0,1)+IF(L119=0,0,1)+IF(L138=0,0,1)+IF(L157=0,0,1)+IF(L176=0,0,1)+IF(L195=0,0,1))</f>
        <v>222.141116315</v>
      </c>
      <c r="M196" s="59"/>
    </row>
  </sheetData>
  <mergeCells count="22">
    <mergeCell ref="L18:M18"/>
    <mergeCell ref="L19:M19"/>
    <mergeCell ref="L20:M20"/>
    <mergeCell ref="L6:M6"/>
    <mergeCell ref="L14:M14"/>
    <mergeCell ref="L15:M15"/>
    <mergeCell ref="L16:M16"/>
    <mergeCell ref="L17:M17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19</cp:lastModifiedBy>
  <dcterms:created xsi:type="dcterms:W3CDTF">2022-05-16T14:23:56Z</dcterms:created>
  <dcterms:modified xsi:type="dcterms:W3CDTF">2025-01-31T04:19:07Z</dcterms:modified>
</cp:coreProperties>
</file>