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0" yWindow="0" windowWidth="19200" windowHeight="10980"/>
  </bookViews>
  <sheets>
    <sheet name="Лист2" sheetId="3" r:id="rId1"/>
  </sheets>
  <definedNames>
    <definedName name="_xlnm.Print_Area" localSheetId="0">Лист2!$A$1:$L$181</definedName>
  </definedNames>
  <calcPr calcId="162913"/>
</workbook>
</file>

<file path=xl/calcChain.xml><?xml version="1.0" encoding="utf-8"?>
<calcChain xmlns="http://schemas.openxmlformats.org/spreadsheetml/2006/main">
  <c r="J84" i="3" l="1"/>
  <c r="I84" i="3"/>
  <c r="H84" i="3"/>
  <c r="G84" i="3"/>
  <c r="I180" i="3" l="1"/>
  <c r="H167" i="3"/>
  <c r="G167" i="3"/>
  <c r="J145" i="3" l="1"/>
  <c r="I145" i="3"/>
  <c r="H145" i="3"/>
  <c r="J144" i="3"/>
  <c r="I144" i="3"/>
  <c r="G128" i="3"/>
  <c r="G127" i="3"/>
  <c r="J101" i="3"/>
  <c r="G92" i="3"/>
  <c r="J79" i="3"/>
  <c r="I79" i="3"/>
  <c r="H79" i="3"/>
  <c r="G79" i="3"/>
  <c r="B93" i="3" l="1"/>
  <c r="A93" i="3"/>
  <c r="B83" i="3"/>
  <c r="A83" i="3"/>
  <c r="B48" i="3"/>
  <c r="A48" i="3"/>
  <c r="B58" i="3"/>
  <c r="A58" i="3"/>
  <c r="B40" i="3"/>
  <c r="A40" i="3"/>
  <c r="L65" i="3" l="1"/>
  <c r="L179" i="3"/>
  <c r="L162" i="3"/>
  <c r="L127" i="3"/>
  <c r="L117" i="3"/>
  <c r="L92" i="3"/>
  <c r="L75" i="3"/>
  <c r="L57" i="3"/>
  <c r="J172" i="3" l="1"/>
  <c r="J170" i="3"/>
  <c r="H170" i="3"/>
  <c r="H173" i="3"/>
  <c r="G173" i="3"/>
  <c r="J171" i="3"/>
  <c r="I171" i="3"/>
  <c r="H171" i="3"/>
  <c r="G171" i="3"/>
  <c r="J156" i="3"/>
  <c r="I156" i="3"/>
  <c r="H156" i="3"/>
  <c r="G156" i="3"/>
  <c r="J154" i="3"/>
  <c r="I154" i="3"/>
  <c r="G154" i="3"/>
  <c r="J153" i="3"/>
  <c r="I153" i="3"/>
  <c r="G153" i="3"/>
  <c r="H139" i="3"/>
  <c r="J137" i="3"/>
  <c r="G137" i="3"/>
  <c r="H136" i="3"/>
  <c r="G136" i="3"/>
  <c r="L144" i="3"/>
  <c r="J131" i="3"/>
  <c r="I131" i="3"/>
  <c r="H131" i="3"/>
  <c r="G131" i="3"/>
  <c r="I129" i="3"/>
  <c r="G129" i="3"/>
  <c r="J121" i="3"/>
  <c r="J120" i="3"/>
  <c r="J119" i="3"/>
  <c r="I119" i="3"/>
  <c r="G121" i="3"/>
  <c r="G120" i="3"/>
  <c r="I112" i="3"/>
  <c r="G112" i="3"/>
  <c r="J102" i="3" l="1"/>
  <c r="I102" i="3"/>
  <c r="H102" i="3"/>
  <c r="G102" i="3"/>
  <c r="L109" i="3"/>
  <c r="L100" i="3"/>
  <c r="J86" i="3"/>
  <c r="J85" i="3"/>
  <c r="H86" i="3"/>
  <c r="J83" i="3" l="1"/>
  <c r="I83" i="3"/>
  <c r="G83" i="3"/>
  <c r="J67" i="3"/>
  <c r="I67" i="3"/>
  <c r="G67" i="3"/>
  <c r="J66" i="3"/>
  <c r="I66" i="3"/>
  <c r="H66" i="3"/>
  <c r="G66" i="3"/>
  <c r="I59" i="3"/>
  <c r="H48" i="3"/>
  <c r="H51" i="3"/>
  <c r="J49" i="3"/>
  <c r="J50" i="3"/>
  <c r="I50" i="3"/>
  <c r="H50" i="3"/>
  <c r="G50" i="3"/>
  <c r="G41" i="3"/>
  <c r="L47" i="3"/>
  <c r="I33" i="3"/>
  <c r="H33" i="3"/>
  <c r="J32" i="3"/>
  <c r="H32" i="3"/>
  <c r="G32" i="3"/>
  <c r="J16" i="3"/>
  <c r="I15" i="3"/>
  <c r="I13" i="3"/>
  <c r="H15" i="3"/>
  <c r="G16" i="3"/>
  <c r="J14" i="3"/>
  <c r="I14" i="3"/>
  <c r="H14" i="3"/>
  <c r="G14" i="3"/>
  <c r="G6" i="3"/>
  <c r="J130" i="3" l="1"/>
  <c r="I130" i="3"/>
  <c r="H130" i="3"/>
  <c r="G130" i="3"/>
  <c r="J129" i="3"/>
  <c r="H129" i="3"/>
  <c r="H119" i="3"/>
  <c r="G119" i="3"/>
  <c r="J112" i="3"/>
  <c r="H112" i="3"/>
  <c r="H67" i="3"/>
  <c r="I49" i="3"/>
  <c r="H49" i="3"/>
  <c r="G49" i="3"/>
  <c r="J31" i="3" l="1"/>
  <c r="I31" i="3"/>
  <c r="I32" i="3"/>
  <c r="G31" i="3"/>
  <c r="J167" i="3" l="1"/>
  <c r="I167" i="3"/>
  <c r="J166" i="3"/>
  <c r="I166" i="3"/>
  <c r="H166" i="3"/>
  <c r="G166" i="3"/>
  <c r="J164" i="3"/>
  <c r="I164" i="3"/>
  <c r="H164" i="3"/>
  <c r="G164" i="3"/>
  <c r="L152" i="3"/>
  <c r="J150" i="3"/>
  <c r="I150" i="3"/>
  <c r="H150" i="3"/>
  <c r="G150" i="3"/>
  <c r="J149" i="3"/>
  <c r="I149" i="3"/>
  <c r="H149" i="3"/>
  <c r="G149" i="3"/>
  <c r="J146" i="3"/>
  <c r="I146" i="3"/>
  <c r="H146" i="3"/>
  <c r="G146" i="3"/>
  <c r="J133" i="3" l="1"/>
  <c r="I133" i="3"/>
  <c r="H133" i="3"/>
  <c r="G133" i="3"/>
  <c r="J132" i="3"/>
  <c r="I132" i="3"/>
  <c r="H132" i="3"/>
  <c r="G132" i="3"/>
  <c r="L82" i="3"/>
  <c r="J62" i="3"/>
  <c r="I62" i="3"/>
  <c r="H62" i="3"/>
  <c r="G62" i="3"/>
  <c r="J61" i="3"/>
  <c r="I61" i="3"/>
  <c r="H61" i="3"/>
  <c r="G61" i="3"/>
  <c r="J59" i="3"/>
  <c r="H59" i="3"/>
  <c r="G59" i="3"/>
  <c r="J45" i="3"/>
  <c r="I45" i="3"/>
  <c r="H45" i="3"/>
  <c r="G45" i="3"/>
  <c r="J44" i="3"/>
  <c r="I44" i="3"/>
  <c r="H44" i="3"/>
  <c r="G44" i="3"/>
  <c r="J43" i="3"/>
  <c r="I43" i="3"/>
  <c r="H43" i="3"/>
  <c r="G43" i="3"/>
  <c r="J41" i="3"/>
  <c r="J47" i="3" s="1"/>
  <c r="I41" i="3"/>
  <c r="I47" i="3" s="1"/>
  <c r="H41" i="3"/>
  <c r="H47" i="3" s="1"/>
  <c r="J28" i="3"/>
  <c r="I28" i="3"/>
  <c r="H28" i="3"/>
  <c r="G28" i="3"/>
  <c r="J27" i="3"/>
  <c r="I27" i="3"/>
  <c r="H27" i="3"/>
  <c r="G27" i="3"/>
  <c r="J25" i="3"/>
  <c r="H25" i="3"/>
  <c r="G25" i="3"/>
  <c r="J24" i="3"/>
  <c r="I24" i="3"/>
  <c r="H24" i="3"/>
  <c r="G24" i="3"/>
  <c r="F179" i="3" l="1"/>
  <c r="J176" i="3"/>
  <c r="I176" i="3"/>
  <c r="H176" i="3"/>
  <c r="G176" i="3"/>
  <c r="J175" i="3"/>
  <c r="I175" i="3"/>
  <c r="H175" i="3"/>
  <c r="G175" i="3"/>
  <c r="J173" i="3"/>
  <c r="J179" i="3" s="1"/>
  <c r="I173" i="3"/>
  <c r="I172" i="3"/>
  <c r="H172" i="3"/>
  <c r="G172" i="3"/>
  <c r="I170" i="3"/>
  <c r="G170" i="3"/>
  <c r="L169" i="3"/>
  <c r="F169" i="3"/>
  <c r="J169" i="3"/>
  <c r="I169" i="3"/>
  <c r="H169" i="3"/>
  <c r="G169" i="3"/>
  <c r="F162" i="3"/>
  <c r="J159" i="3"/>
  <c r="I159" i="3"/>
  <c r="H159" i="3"/>
  <c r="G159" i="3"/>
  <c r="J158" i="3"/>
  <c r="I158" i="3"/>
  <c r="H158" i="3"/>
  <c r="G158" i="3"/>
  <c r="J155" i="3"/>
  <c r="I155" i="3"/>
  <c r="H155" i="3"/>
  <c r="G155" i="3"/>
  <c r="H154" i="3"/>
  <c r="H153" i="3"/>
  <c r="L163" i="3"/>
  <c r="F152" i="3"/>
  <c r="J152" i="3"/>
  <c r="I152" i="3"/>
  <c r="H152" i="3"/>
  <c r="G152" i="3"/>
  <c r="B145" i="3"/>
  <c r="A145" i="3"/>
  <c r="F144" i="3"/>
  <c r="J142" i="3"/>
  <c r="I142" i="3"/>
  <c r="H142" i="3"/>
  <c r="G142" i="3"/>
  <c r="J141" i="3"/>
  <c r="I141" i="3"/>
  <c r="H141" i="3"/>
  <c r="G141" i="3"/>
  <c r="J139" i="3"/>
  <c r="I139" i="3"/>
  <c r="G139" i="3"/>
  <c r="J138" i="3"/>
  <c r="I138" i="3"/>
  <c r="H138" i="3"/>
  <c r="G138" i="3"/>
  <c r="I137" i="3"/>
  <c r="H137" i="3"/>
  <c r="J136" i="3"/>
  <c r="I136" i="3"/>
  <c r="B136" i="3"/>
  <c r="A136" i="3"/>
  <c r="L135" i="3"/>
  <c r="F135" i="3"/>
  <c r="F145" i="3" s="1"/>
  <c r="J135" i="3"/>
  <c r="I135" i="3"/>
  <c r="H135" i="3"/>
  <c r="G135" i="3"/>
  <c r="B128" i="3"/>
  <c r="A128" i="3"/>
  <c r="L128" i="3"/>
  <c r="F127" i="3"/>
  <c r="J124" i="3"/>
  <c r="I124" i="3"/>
  <c r="H124" i="3"/>
  <c r="G124" i="3"/>
  <c r="J123" i="3"/>
  <c r="I123" i="3"/>
  <c r="H123" i="3"/>
  <c r="G123" i="3"/>
  <c r="I121" i="3"/>
  <c r="H121" i="3"/>
  <c r="I120" i="3"/>
  <c r="H120" i="3"/>
  <c r="J118" i="3"/>
  <c r="J127" i="3" s="1"/>
  <c r="I118" i="3"/>
  <c r="H118" i="3"/>
  <c r="G118" i="3"/>
  <c r="B118" i="3"/>
  <c r="A118" i="3"/>
  <c r="F117" i="3"/>
  <c r="J114" i="3"/>
  <c r="I114" i="3"/>
  <c r="H114" i="3"/>
  <c r="G114" i="3"/>
  <c r="J111" i="3"/>
  <c r="I111" i="3"/>
  <c r="H111" i="3"/>
  <c r="G111" i="3"/>
  <c r="B110" i="3"/>
  <c r="A110" i="3"/>
  <c r="F109" i="3"/>
  <c r="J107" i="3"/>
  <c r="I107" i="3"/>
  <c r="H107" i="3"/>
  <c r="G107" i="3"/>
  <c r="J105" i="3"/>
  <c r="I105" i="3"/>
  <c r="H105" i="3"/>
  <c r="G105" i="3"/>
  <c r="J104" i="3"/>
  <c r="I104" i="3"/>
  <c r="H104" i="3"/>
  <c r="G104" i="3"/>
  <c r="J103" i="3"/>
  <c r="I103" i="3"/>
  <c r="H103" i="3"/>
  <c r="G103" i="3"/>
  <c r="I101" i="3"/>
  <c r="H101" i="3"/>
  <c r="G101" i="3"/>
  <c r="G109" i="3" s="1"/>
  <c r="B101" i="3"/>
  <c r="A101" i="3"/>
  <c r="L110" i="3"/>
  <c r="F100" i="3"/>
  <c r="F110" i="3" s="1"/>
  <c r="J98" i="3"/>
  <c r="I98" i="3"/>
  <c r="H98" i="3"/>
  <c r="G98" i="3"/>
  <c r="J97" i="3"/>
  <c r="I97" i="3"/>
  <c r="H97" i="3"/>
  <c r="G97" i="3"/>
  <c r="J95" i="3"/>
  <c r="I95" i="3"/>
  <c r="H95" i="3"/>
  <c r="G95" i="3"/>
  <c r="J94" i="3"/>
  <c r="J100" i="3" s="1"/>
  <c r="I94" i="3"/>
  <c r="I100" i="3" s="1"/>
  <c r="H94" i="3"/>
  <c r="H100" i="3" s="1"/>
  <c r="G94" i="3"/>
  <c r="G100" i="3" s="1"/>
  <c r="L93" i="3"/>
  <c r="F92" i="3"/>
  <c r="J89" i="3"/>
  <c r="I89" i="3"/>
  <c r="H89" i="3"/>
  <c r="G89" i="3"/>
  <c r="J88" i="3"/>
  <c r="I88" i="3"/>
  <c r="H88" i="3"/>
  <c r="G88" i="3"/>
  <c r="I86" i="3"/>
  <c r="G86" i="3"/>
  <c r="I85" i="3"/>
  <c r="H85" i="3"/>
  <c r="G85" i="3"/>
  <c r="H83" i="3"/>
  <c r="F82" i="3"/>
  <c r="J80" i="3"/>
  <c r="I80" i="3"/>
  <c r="H80" i="3"/>
  <c r="G80" i="3"/>
  <c r="J77" i="3"/>
  <c r="I77" i="3"/>
  <c r="H77" i="3"/>
  <c r="H82" i="3" s="1"/>
  <c r="G77" i="3"/>
  <c r="G82" i="3" s="1"/>
  <c r="B76" i="3"/>
  <c r="A76" i="3"/>
  <c r="L76" i="3"/>
  <c r="F75" i="3"/>
  <c r="J72" i="3"/>
  <c r="I72" i="3"/>
  <c r="H72" i="3"/>
  <c r="G72" i="3"/>
  <c r="J71" i="3"/>
  <c r="I71" i="3"/>
  <c r="H71" i="3"/>
  <c r="G71" i="3"/>
  <c r="J69" i="3"/>
  <c r="I69" i="3"/>
  <c r="H69" i="3"/>
  <c r="G69" i="3"/>
  <c r="J68" i="3"/>
  <c r="I68" i="3"/>
  <c r="H68" i="3"/>
  <c r="G68" i="3"/>
  <c r="B66" i="3"/>
  <c r="A66" i="3"/>
  <c r="I65" i="3"/>
  <c r="F65" i="3"/>
  <c r="J65" i="3"/>
  <c r="H65" i="3"/>
  <c r="G65" i="3"/>
  <c r="F57" i="3"/>
  <c r="J54" i="3"/>
  <c r="I54" i="3"/>
  <c r="H54" i="3"/>
  <c r="G54" i="3"/>
  <c r="J53" i="3"/>
  <c r="I53" i="3"/>
  <c r="H53" i="3"/>
  <c r="H57" i="3" s="1"/>
  <c r="G53" i="3"/>
  <c r="J51" i="3"/>
  <c r="I51" i="3"/>
  <c r="G51" i="3"/>
  <c r="J48" i="3"/>
  <c r="I48" i="3"/>
  <c r="G48" i="3"/>
  <c r="L58" i="3"/>
  <c r="G47" i="3"/>
  <c r="F47" i="3"/>
  <c r="L39" i="3"/>
  <c r="F39" i="3"/>
  <c r="J36" i="3"/>
  <c r="I36" i="3"/>
  <c r="H36" i="3"/>
  <c r="G36" i="3"/>
  <c r="J35" i="3"/>
  <c r="I35" i="3"/>
  <c r="H35" i="3"/>
  <c r="G35" i="3"/>
  <c r="J34" i="3"/>
  <c r="I34" i="3"/>
  <c r="H34" i="3"/>
  <c r="G34" i="3" s="1"/>
  <c r="J33" i="3"/>
  <c r="G33" i="3"/>
  <c r="H31" i="3"/>
  <c r="F30" i="3"/>
  <c r="H30" i="3"/>
  <c r="L30" i="3"/>
  <c r="J30" i="3"/>
  <c r="I30" i="3"/>
  <c r="G30" i="3"/>
  <c r="B23" i="3"/>
  <c r="A23" i="3"/>
  <c r="L22" i="3"/>
  <c r="F22" i="3"/>
  <c r="J19" i="3"/>
  <c r="I19" i="3"/>
  <c r="H19" i="3"/>
  <c r="G19" i="3"/>
  <c r="J18" i="3"/>
  <c r="I18" i="3"/>
  <c r="H18" i="3"/>
  <c r="G18" i="3"/>
  <c r="J17" i="3"/>
  <c r="I17" i="3"/>
  <c r="H17" i="3"/>
  <c r="G17" i="3"/>
  <c r="I16" i="3"/>
  <c r="H16" i="3"/>
  <c r="J15" i="3"/>
  <c r="G15" i="3"/>
  <c r="J13" i="3"/>
  <c r="H13" i="3"/>
  <c r="G13" i="3"/>
  <c r="B13" i="3"/>
  <c r="A13" i="3"/>
  <c r="L12" i="3"/>
  <c r="F12" i="3"/>
  <c r="J10" i="3"/>
  <c r="I10" i="3"/>
  <c r="H10" i="3"/>
  <c r="G10" i="3"/>
  <c r="J9" i="3"/>
  <c r="I9" i="3"/>
  <c r="H9" i="3"/>
  <c r="G9" i="3"/>
  <c r="J8" i="3"/>
  <c r="I8" i="3"/>
  <c r="H8" i="3"/>
  <c r="G8" i="3"/>
  <c r="J7" i="3"/>
  <c r="I7" i="3"/>
  <c r="H7" i="3"/>
  <c r="J6" i="3"/>
  <c r="I6" i="3"/>
  <c r="H6" i="3"/>
  <c r="H12" i="3" s="1"/>
  <c r="G57" i="3" l="1"/>
  <c r="G58" i="3" s="1"/>
  <c r="G144" i="3"/>
  <c r="H162" i="3"/>
  <c r="H163" i="3" s="1"/>
  <c r="J12" i="3"/>
  <c r="G179" i="3"/>
  <c r="H92" i="3"/>
  <c r="H93" i="3" s="1"/>
  <c r="F180" i="3"/>
  <c r="G162" i="3"/>
  <c r="G163" i="3" s="1"/>
  <c r="J109" i="3"/>
  <c r="J110" i="3" s="1"/>
  <c r="I92" i="3"/>
  <c r="G145" i="3"/>
  <c r="F128" i="3"/>
  <c r="I57" i="3"/>
  <c r="I58" i="3" s="1"/>
  <c r="G12" i="3"/>
  <c r="F23" i="3"/>
  <c r="G22" i="3"/>
  <c r="I117" i="3"/>
  <c r="H39" i="3"/>
  <c r="H40" i="3" s="1"/>
  <c r="G117" i="3"/>
  <c r="I179" i="3"/>
  <c r="H179" i="3"/>
  <c r="H180" i="3" s="1"/>
  <c r="F163" i="3"/>
  <c r="I127" i="3"/>
  <c r="H127" i="3"/>
  <c r="H117" i="3"/>
  <c r="H109" i="3"/>
  <c r="H110" i="3" s="1"/>
  <c r="F93" i="3"/>
  <c r="F76" i="3"/>
  <c r="H58" i="3"/>
  <c r="J39" i="3"/>
  <c r="J40" i="3" s="1"/>
  <c r="I22" i="3"/>
  <c r="I12" i="3"/>
  <c r="L180" i="3"/>
  <c r="I162" i="3"/>
  <c r="I163" i="3" s="1"/>
  <c r="J162" i="3"/>
  <c r="J163" i="3" s="1"/>
  <c r="I109" i="3"/>
  <c r="I110" i="3" s="1"/>
  <c r="G39" i="3"/>
  <c r="G40" i="3" s="1"/>
  <c r="H75" i="3"/>
  <c r="H76" i="3" s="1"/>
  <c r="G93" i="3"/>
  <c r="L145" i="3"/>
  <c r="J117" i="3"/>
  <c r="J128" i="3" s="1"/>
  <c r="G110" i="3"/>
  <c r="J92" i="3"/>
  <c r="I82" i="3"/>
  <c r="I93" i="3" s="1"/>
  <c r="J82" i="3"/>
  <c r="J75" i="3"/>
  <c r="J76" i="3" s="1"/>
  <c r="I75" i="3"/>
  <c r="I76" i="3" s="1"/>
  <c r="H144" i="3"/>
  <c r="H22" i="3"/>
  <c r="H23" i="3" s="1"/>
  <c r="I39" i="3"/>
  <c r="I40" i="3" s="1"/>
  <c r="G180" i="3"/>
  <c r="F58" i="3"/>
  <c r="G75" i="3"/>
  <c r="G76" i="3" s="1"/>
  <c r="J57" i="3"/>
  <c r="J58" i="3" s="1"/>
  <c r="L40" i="3"/>
  <c r="F40" i="3"/>
  <c r="J22" i="3"/>
  <c r="J23" i="3" s="1"/>
  <c r="L23" i="3"/>
  <c r="J180" i="3"/>
  <c r="I23" i="3" l="1"/>
  <c r="G23" i="3"/>
  <c r="I128" i="3"/>
  <c r="H128" i="3"/>
  <c r="F181" i="3"/>
  <c r="J93" i="3"/>
  <c r="J181" i="3" s="1"/>
  <c r="G181" i="3"/>
  <c r="L181" i="3"/>
  <c r="H181" i="3"/>
  <c r="I181" i="3"/>
</calcChain>
</file>

<file path=xl/sharedStrings.xml><?xml version="1.0" encoding="utf-8"?>
<sst xmlns="http://schemas.openxmlformats.org/spreadsheetml/2006/main" count="409" uniqueCount="161">
  <si>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</si>
  <si>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</si>
  <si>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</si>
  <si>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</si>
  <si>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</si>
  <si>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</si>
  <si>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</si>
  <si>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</si>
  <si>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</si>
  <si>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</si>
  <si>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</si>
  <si>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</si>
  <si>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</si>
  <si>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</si>
  <si>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</si>
  <si>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</si>
  <si>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</si>
  <si>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</si>
  <si>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</si>
  <si>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</si>
  <si>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</si>
  <si>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</si>
  <si>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</si>
  <si>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</si>
  <si>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</si>
  <si>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</si>
  <si>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</si>
  <si>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</si>
  <si>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</si>
  <si>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</si>
  <si>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</si>
  <si>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</si>
  <si>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</si>
  <si>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</si>
  <si>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</si>
  <si>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</si>
  <si>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</si>
  <si>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</si>
  <si>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</si>
  <si>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</si>
  <si>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</si>
  <si>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</si>
  <si>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</si>
  <si>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</si>
  <si>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</si>
  <si>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</si>
  <si>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</si>
  <si>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</si>
  <si>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</si>
  <si>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</si>
  <si>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</si>
  <si>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Картофельное пюре</t>
  </si>
  <si>
    <t xml:space="preserve">Плов </t>
  </si>
  <si>
    <t>Напиток из шиповника</t>
  </si>
  <si>
    <t>Каша пшеничная молочная с маслом сливочным</t>
  </si>
  <si>
    <t>Чай каркаде</t>
  </si>
  <si>
    <t>Бутерброд с маслом</t>
  </si>
  <si>
    <t>Винегрет овощной</t>
  </si>
  <si>
    <t>Тефтели рыбные  в соусе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</si>
  <si>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</si>
  <si>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</si>
  <si>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</si>
  <si>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</si>
  <si>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</si>
  <si>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</si>
  <si>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</si>
  <si>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</si>
  <si>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Салат из отварной свеклы с растительным маслом</t>
  </si>
  <si>
    <t>29/2</t>
  </si>
  <si>
    <t>40/2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</si>
  <si>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</si>
  <si>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</si>
  <si>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</si>
  <si>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</si>
  <si>
    <t>44240</t>
  </si>
  <si>
    <t>Салат из свежих овощей с маслом растительным и зеленью</t>
  </si>
  <si>
    <t>41/1</t>
  </si>
  <si>
    <t>Омлет натуральный</t>
  </si>
  <si>
    <t>Чай с сахаром</t>
  </si>
  <si>
    <t>44233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</si>
  <si>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</si>
  <si>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</si>
  <si>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</si>
  <si>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</si>
  <si>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</si>
  <si>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</si>
  <si>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</si>
  <si>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</si>
  <si>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</si>
  <si>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Салат "Фантазия"</t>
  </si>
  <si>
    <t>13/1,1</t>
  </si>
  <si>
    <t>44258</t>
  </si>
  <si>
    <t>948</t>
  </si>
  <si>
    <t>Рис припущенный</t>
  </si>
  <si>
    <t>Компот из кураги и изюма</t>
  </si>
  <si>
    <t>21/1</t>
  </si>
  <si>
    <t>305</t>
  </si>
  <si>
    <t>44510</t>
  </si>
  <si>
    <t>Салат из отварной свеклы с сыром и растительным маслом</t>
  </si>
  <si>
    <t>40</t>
  </si>
  <si>
    <t>лист1</t>
  </si>
  <si>
    <t>Хлеб ржано-пшеничный</t>
  </si>
  <si>
    <t>Суп из овощей со сметаной, мясом и зеленью</t>
  </si>
  <si>
    <t>Какао на молоке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</si>
  <si>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</si>
  <si>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</si>
  <si>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Борщ из капусты с картофелем, сметаной, мясом и зеленью</t>
  </si>
  <si>
    <t>Суп молочный с лапшой</t>
  </si>
  <si>
    <t>Яйцо отварное</t>
  </si>
  <si>
    <t>Каша молочная ассорти с маслом сливочным</t>
  </si>
  <si>
    <t>Чай с молоком</t>
  </si>
  <si>
    <t>Салат из св капусты с огурцами, зеленью и растительным маслом</t>
  </si>
  <si>
    <t>Суп молочный с крупой</t>
  </si>
  <si>
    <t>Каша молочная ячневая с маслом сливочным</t>
  </si>
  <si>
    <t>44320</t>
  </si>
  <si>
    <t>44202</t>
  </si>
  <si>
    <t>24/2</t>
  </si>
  <si>
    <t>36/10</t>
  </si>
  <si>
    <t>36/81</t>
  </si>
  <si>
    <t>44209</t>
  </si>
  <si>
    <t>37/2</t>
  </si>
  <si>
    <t>445</t>
  </si>
  <si>
    <t>31/10</t>
  </si>
  <si>
    <t>17/4</t>
  </si>
  <si>
    <t>22/2</t>
  </si>
  <si>
    <t>26/2</t>
  </si>
  <si>
    <t>32/10</t>
  </si>
  <si>
    <t>39/3</t>
  </si>
  <si>
    <t>15/4</t>
  </si>
  <si>
    <t>32/1</t>
  </si>
  <si>
    <t>Салат из картофеля с соленым огурцом, луком и растительным маслом</t>
  </si>
  <si>
    <t>Салат из белокачанной капусты с морковью и растительным маслом</t>
  </si>
  <si>
    <t>Суп-лапша на куринном бульоне</t>
  </si>
  <si>
    <t>Тефтели из говядины с рисом паровые</t>
  </si>
  <si>
    <t>Суп-пюре картофельный с мясом, зеленью</t>
  </si>
  <si>
    <t>Рассольник с крупой,  сметаной, мясом, зеленью</t>
  </si>
  <si>
    <t>Биточки мясные паровые</t>
  </si>
  <si>
    <t>Щи с капустой, картофелем, сметаной, мясом и зеленью</t>
  </si>
  <si>
    <t>Кисель</t>
  </si>
  <si>
    <t>Салат из огурцов, помидор с растительным маслом</t>
  </si>
  <si>
    <t>Суп картофельный с макаронными изделиями, мясом и зеленью</t>
  </si>
  <si>
    <t>Каша молочная манная   с маслом сливочным</t>
  </si>
  <si>
    <t>Суп крестьянский с крупой и сметаной, мясом, зеленью</t>
  </si>
  <si>
    <t>Суп картофельный с бобовыми, мясом, зеленью</t>
  </si>
  <si>
    <t>Суп картофельный с крупой и рыбной консервой, зеленью</t>
  </si>
  <si>
    <t>Зеленый горошек консервированный</t>
  </si>
  <si>
    <t>МАОУ "СОШ № 19"</t>
  </si>
  <si>
    <t>фрукты</t>
  </si>
  <si>
    <t>46/3</t>
  </si>
  <si>
    <t>37/10</t>
  </si>
  <si>
    <t>38/2</t>
  </si>
  <si>
    <t>16/81</t>
  </si>
  <si>
    <t>16/4</t>
  </si>
  <si>
    <t>16/2</t>
  </si>
  <si>
    <t>20/2</t>
  </si>
  <si>
    <t>27/10</t>
  </si>
  <si>
    <t>16/8</t>
  </si>
  <si>
    <t>27/11</t>
  </si>
  <si>
    <t>18/2</t>
  </si>
  <si>
    <t>18/7</t>
  </si>
  <si>
    <t>Салат из свежей капусты с огурцами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</si>
</sst>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2" fontId="9" fillId="3" borderId="1" xfId="2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 applyProtection="1">
      <alignment horizontal="left" vertical="center"/>
      <protection locked="0"/>
    </xf>
    <xf numFmtId="2" fontId="10" fillId="3" borderId="1" xfId="2" applyNumberFormat="1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 wrapText="1"/>
    </xf>
    <xf numFmtId="2" fontId="10" fillId="3" borderId="1" xfId="2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2" fontId="10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2" fontId="13" fillId="3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2" fontId="9" fillId="0" borderId="1" xfId="1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2" fontId="13" fillId="5" borderId="7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Fill="1" applyBorder="1" applyAlignment="1">
      <alignment horizontal="left" vertical="center"/>
    </xf>
    <xf numFmtId="2" fontId="8" fillId="0" borderId="1" xfId="1" applyNumberFormat="1" applyFont="1" applyBorder="1" applyAlignment="1">
      <alignment horizontal="left" vertical="center"/>
    </xf>
    <xf numFmtId="2" fontId="8" fillId="0" borderId="1" xfId="1" applyNumberFormat="1" applyFont="1" applyBorder="1" applyAlignment="1">
      <alignment vertical="center" wrapText="1"/>
    </xf>
    <xf numFmtId="0" fontId="8" fillId="6" borderId="1" xfId="1" applyFont="1" applyFill="1" applyBorder="1" applyAlignment="1">
      <alignment vertical="center" wrapText="1"/>
    </xf>
    <xf numFmtId="2" fontId="8" fillId="6" borderId="1" xfId="1" applyNumberFormat="1" applyFont="1" applyFill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2" fontId="8" fillId="0" borderId="1" xfId="11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2" fontId="9" fillId="0" borderId="1" xfId="1" applyNumberFormat="1" applyFont="1" applyBorder="1" applyAlignment="1">
      <alignment vertical="center"/>
    </xf>
    <xf numFmtId="2" fontId="12" fillId="0" borderId="6" xfId="0" applyNumberFormat="1" applyFont="1" applyBorder="1" applyAlignment="1">
      <alignment horizontal="center" vertical="center" wrapText="1"/>
    </xf>
    <xf numFmtId="2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7" xfId="0" applyNumberFormat="1" applyFont="1" applyFill="1" applyBorder="1" applyAlignment="1">
      <alignment horizontal="center" vertical="center"/>
    </xf>
    <xf numFmtId="2" fontId="13" fillId="7" borderId="7" xfId="0" applyNumberFormat="1" applyFont="1" applyFill="1" applyBorder="1" applyAlignment="1">
      <alignment horizontal="center" vertical="center" wrapText="1"/>
    </xf>
    <xf numFmtId="2" fontId="13" fillId="3" borderId="13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6" borderId="1" xfId="1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" fontId="8" fillId="2" borderId="2" xfId="0" applyNumberFormat="1" applyFont="1" applyFill="1" applyBorder="1" applyAlignment="1" applyProtection="1">
      <alignment horizontal="left" vertical="center"/>
      <protection locked="0"/>
    </xf>
    <xf numFmtId="1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left" vertical="center" wrapText="1"/>
    </xf>
    <xf numFmtId="2" fontId="13" fillId="5" borderId="1" xfId="0" applyNumberFormat="1" applyFont="1" applyFill="1" applyBorder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2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>
      <alignment horizontal="left" vertical="center" wrapText="1"/>
    </xf>
    <xf numFmtId="2" fontId="13" fillId="7" borderId="1" xfId="0" applyNumberFormat="1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13" fillId="3" borderId="5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4" xfId="2" applyNumberFormat="1" applyFont="1" applyFill="1" applyBorder="1" applyAlignment="1">
      <alignment horizontal="left" vertical="center"/>
    </xf>
    <xf numFmtId="2" fontId="10" fillId="3" borderId="9" xfId="2" applyNumberFormat="1" applyFont="1" applyFill="1" applyBorder="1" applyAlignment="1">
      <alignment horizontal="left" vertical="center"/>
    </xf>
    <xf numFmtId="2" fontId="13" fillId="0" borderId="1" xfId="1" applyNumberFormat="1" applyFont="1" applyFill="1" applyBorder="1" applyAlignment="1">
      <alignment horizontal="left" vertical="center"/>
    </xf>
    <xf numFmtId="2" fontId="10" fillId="3" borderId="2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</cellXfs>
  <cellStyles count="12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2 2" xfId="11"/>
    <cellStyle name="Обычный 3 3" xfId="6"/>
    <cellStyle name="Обычный 3 4" xfId="7"/>
    <cellStyle name="Обычный 3 5" xfId="8"/>
    <cellStyle name="Обычный 3 6" xfId="9"/>
    <cellStyle name="Обычный 3 7" xfId="1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abSelected="1" view="pageBreakPreview" topLeftCell="A14" zoomScale="70" zoomScaleNormal="70" zoomScaleSheetLayoutView="70" workbookViewId="0">
      <selection activeCell="D32" sqref="D32"/>
    </sheetView>
  </sheetViews>
  <sheetFormatPr defaultColWidth="16.7109375" defaultRowHeight="15.75"/>
  <cols>
    <col min="1" max="1" width="4.42578125" style="68" customWidth="1"/>
    <col min="2" max="2" width="4.85546875" style="68" customWidth="1"/>
    <col min="3" max="3" width="9.28515625" style="67" customWidth="1"/>
    <col min="4" max="4" width="15.28515625" style="72" bestFit="1" customWidth="1"/>
    <col min="5" max="5" width="37.5703125" style="72" bestFit="1" customWidth="1"/>
    <col min="6" max="6" width="11" style="67" bestFit="1" customWidth="1"/>
    <col min="7" max="7" width="11.7109375" style="67" bestFit="1" customWidth="1"/>
    <col min="8" max="8" width="7.140625" style="67" bestFit="1" customWidth="1"/>
    <col min="9" max="9" width="10" style="67" bestFit="1" customWidth="1"/>
    <col min="10" max="10" width="10.42578125" style="67" bestFit="1" customWidth="1"/>
    <col min="11" max="11" width="12.7109375" style="57" bestFit="1" customWidth="1"/>
    <col min="12" max="12" width="8.140625" style="55" bestFit="1" customWidth="1"/>
    <col min="13" max="15" width="16.7109375" style="68"/>
    <col min="16" max="16" width="7" style="68" bestFit="1" customWidth="1"/>
    <col min="17" max="16384" width="16.7109375" style="68"/>
  </cols>
  <sheetData>
    <row r="1" spans="1:14">
      <c r="A1" s="67" t="s">
        <v>0</v>
      </c>
      <c r="C1" s="116" t="s">
        <v>146</v>
      </c>
      <c r="D1" s="117"/>
      <c r="E1" s="117"/>
      <c r="F1" s="67" t="s">
        <v>1</v>
      </c>
      <c r="G1" s="67" t="s">
        <v>2</v>
      </c>
      <c r="H1" s="118" t="s">
        <v>70</v>
      </c>
      <c r="I1" s="119"/>
      <c r="J1" s="119"/>
      <c r="K1" s="120"/>
    </row>
    <row r="2" spans="1:14">
      <c r="A2" s="121" t="s">
        <v>3</v>
      </c>
      <c r="B2" s="122"/>
      <c r="C2" s="122"/>
      <c r="D2" s="122"/>
      <c r="E2" s="122"/>
      <c r="F2" s="122"/>
      <c r="G2" s="67" t="s">
        <v>4</v>
      </c>
      <c r="H2" s="123" t="s">
        <v>71</v>
      </c>
      <c r="I2" s="123"/>
      <c r="J2" s="123"/>
      <c r="K2" s="123"/>
    </row>
    <row r="3" spans="1:14">
      <c r="A3" s="19" t="s">
        <v>5</v>
      </c>
      <c r="C3" s="68"/>
      <c r="D3" s="21"/>
      <c r="E3" s="69" t="s">
        <v>6</v>
      </c>
      <c r="G3" s="67" t="s">
        <v>7</v>
      </c>
      <c r="H3" s="70">
        <v>11</v>
      </c>
      <c r="I3" s="70">
        <v>5</v>
      </c>
      <c r="J3" s="71">
        <v>2026</v>
      </c>
      <c r="K3" s="56"/>
    </row>
    <row r="4" spans="1:14" ht="16.5" thickBot="1">
      <c r="C4" s="68"/>
      <c r="D4" s="22"/>
      <c r="H4" s="73" t="s">
        <v>8</v>
      </c>
      <c r="I4" s="73" t="s">
        <v>9</v>
      </c>
      <c r="J4" s="73" t="s">
        <v>10</v>
      </c>
    </row>
    <row r="5" spans="1:14" ht="63">
      <c r="A5" s="24" t="s">
        <v>11</v>
      </c>
      <c r="B5" s="25" t="s">
        <v>12</v>
      </c>
      <c r="C5" s="26" t="s">
        <v>13</v>
      </c>
      <c r="D5" s="26" t="s">
        <v>14</v>
      </c>
      <c r="E5" s="27" t="s">
        <v>15</v>
      </c>
      <c r="F5" s="27" t="s">
        <v>16</v>
      </c>
      <c r="G5" s="27" t="s">
        <v>17</v>
      </c>
      <c r="H5" s="27" t="s">
        <v>100</v>
      </c>
      <c r="I5" s="27" t="s">
        <v>18</v>
      </c>
      <c r="J5" s="27" t="s">
        <v>19</v>
      </c>
      <c r="K5" s="45" t="s">
        <v>20</v>
      </c>
      <c r="L5" s="39" t="s">
        <v>21</v>
      </c>
    </row>
    <row r="6" spans="1:14" ht="31.5">
      <c r="A6" s="74">
        <v>1</v>
      </c>
      <c r="B6" s="75">
        <v>1</v>
      </c>
      <c r="C6" s="76" t="s">
        <v>22</v>
      </c>
      <c r="D6" s="77" t="s">
        <v>23</v>
      </c>
      <c r="E6" s="3" t="s">
        <v>54</v>
      </c>
      <c r="F6" s="4">
        <v>200</v>
      </c>
      <c r="G6" s="5">
        <f>7.5*F6/200</f>
        <v>7.5</v>
      </c>
      <c r="H6" s="5">
        <f>F6*11.4/200</f>
        <v>11.4</v>
      </c>
      <c r="I6" s="5">
        <f>31.3*F6/200</f>
        <v>31.3</v>
      </c>
      <c r="J6" s="5">
        <f>257.8*F6/200</f>
        <v>257.8</v>
      </c>
      <c r="K6" s="46" t="s">
        <v>152</v>
      </c>
      <c r="L6" s="40">
        <v>33.619999999999997</v>
      </c>
      <c r="M6" s="78"/>
    </row>
    <row r="7" spans="1:14">
      <c r="A7" s="74"/>
      <c r="B7" s="75"/>
      <c r="C7" s="76"/>
      <c r="D7" s="79" t="s">
        <v>147</v>
      </c>
      <c r="E7" s="3" t="s">
        <v>65</v>
      </c>
      <c r="F7" s="6">
        <v>100</v>
      </c>
      <c r="G7" s="6">
        <v>0.4</v>
      </c>
      <c r="H7" s="6">
        <f>F7*0.4/100</f>
        <v>0.4</v>
      </c>
      <c r="I7" s="6">
        <f>F7*10.95/100</f>
        <v>10.95</v>
      </c>
      <c r="J7" s="6">
        <f>F7*49/100</f>
        <v>49</v>
      </c>
      <c r="K7" s="46" t="s">
        <v>27</v>
      </c>
      <c r="L7" s="40">
        <v>30.79</v>
      </c>
      <c r="M7" s="78"/>
    </row>
    <row r="8" spans="1:14">
      <c r="A8" s="74"/>
      <c r="B8" s="75"/>
      <c r="C8" s="76"/>
      <c r="D8" s="77" t="s">
        <v>24</v>
      </c>
      <c r="E8" s="3" t="s">
        <v>25</v>
      </c>
      <c r="F8" s="4">
        <v>200</v>
      </c>
      <c r="G8" s="4">
        <f>3.1*F8/200</f>
        <v>3.1</v>
      </c>
      <c r="H8" s="4">
        <f>3.2*F8/200</f>
        <v>3.2</v>
      </c>
      <c r="I8" s="4">
        <f>14.4*F8/200</f>
        <v>14.4</v>
      </c>
      <c r="J8" s="4">
        <f>99*F8/200</f>
        <v>99</v>
      </c>
      <c r="K8" s="46" t="s">
        <v>126</v>
      </c>
      <c r="L8" s="40">
        <v>22.91</v>
      </c>
      <c r="M8" s="78"/>
    </row>
    <row r="9" spans="1:14">
      <c r="A9" s="74"/>
      <c r="B9" s="75"/>
      <c r="C9" s="76"/>
      <c r="D9" s="77" t="s">
        <v>37</v>
      </c>
      <c r="E9" s="3" t="s">
        <v>28</v>
      </c>
      <c r="F9" s="4">
        <v>50</v>
      </c>
      <c r="G9" s="4">
        <f>F9*6.1/50</f>
        <v>6.1</v>
      </c>
      <c r="H9" s="4">
        <f>F9*3.7/50</f>
        <v>3.7</v>
      </c>
      <c r="I9" s="4">
        <f>F9*17.5/50</f>
        <v>17.5</v>
      </c>
      <c r="J9" s="4">
        <f>F9*127.7/50</f>
        <v>127.7</v>
      </c>
      <c r="K9" s="46" t="s">
        <v>74</v>
      </c>
      <c r="L9" s="40">
        <v>34.44</v>
      </c>
      <c r="M9" s="78"/>
    </row>
    <row r="10" spans="1:14">
      <c r="A10" s="74"/>
      <c r="B10" s="75"/>
      <c r="C10" s="76"/>
      <c r="D10" s="77" t="s">
        <v>39</v>
      </c>
      <c r="E10" s="7" t="s">
        <v>101</v>
      </c>
      <c r="F10" s="6">
        <v>30</v>
      </c>
      <c r="G10" s="6">
        <f>1.68*F10/30</f>
        <v>1.68</v>
      </c>
      <c r="H10" s="6">
        <f>0.33*F10/30</f>
        <v>0.33</v>
      </c>
      <c r="I10" s="6">
        <f>14.82*F10/30</f>
        <v>14.82</v>
      </c>
      <c r="J10" s="6">
        <f>68.97*F10/30</f>
        <v>68.97</v>
      </c>
      <c r="K10" s="46" t="s">
        <v>27</v>
      </c>
      <c r="L10" s="40">
        <v>3.28</v>
      </c>
      <c r="M10" s="78"/>
    </row>
    <row r="11" spans="1:14">
      <c r="A11" s="74"/>
      <c r="B11" s="75"/>
      <c r="C11" s="76"/>
      <c r="D11" s="79"/>
      <c r="E11" s="79"/>
      <c r="F11" s="80"/>
      <c r="G11" s="80"/>
      <c r="H11" s="80"/>
      <c r="I11" s="80"/>
      <c r="J11" s="80"/>
      <c r="K11" s="46"/>
      <c r="L11" s="40"/>
      <c r="M11" s="78"/>
    </row>
    <row r="12" spans="1:14">
      <c r="A12" s="81"/>
      <c r="B12" s="82"/>
      <c r="C12" s="83"/>
      <c r="D12" s="84" t="s">
        <v>29</v>
      </c>
      <c r="E12" s="85"/>
      <c r="F12" s="86">
        <f>SUM(F6:F11)</f>
        <v>580</v>
      </c>
      <c r="G12" s="86">
        <f>SUM(G6:G11)</f>
        <v>18.78</v>
      </c>
      <c r="H12" s="86">
        <f>SUM(H6:H11)</f>
        <v>19.029999999999998</v>
      </c>
      <c r="I12" s="86">
        <f>SUM(I6:I11)</f>
        <v>88.97</v>
      </c>
      <c r="J12" s="86">
        <f>SUM(J6:J11)</f>
        <v>602.47</v>
      </c>
      <c r="K12" s="47"/>
      <c r="L12" s="28">
        <f>SUM(L6:L11)</f>
        <v>125.03999999999999</v>
      </c>
      <c r="M12" s="78"/>
    </row>
    <row r="13" spans="1:14" ht="31.5">
      <c r="A13" s="74">
        <f>A6</f>
        <v>1</v>
      </c>
      <c r="B13" s="75">
        <f>B6</f>
        <v>1</v>
      </c>
      <c r="C13" s="76" t="s">
        <v>30</v>
      </c>
      <c r="D13" s="77" t="s">
        <v>31</v>
      </c>
      <c r="E13" s="3" t="s">
        <v>75</v>
      </c>
      <c r="F13" s="6">
        <v>60</v>
      </c>
      <c r="G13" s="6">
        <f>F13*0.6/60</f>
        <v>0.6</v>
      </c>
      <c r="H13" s="6">
        <f>F13*6/60</f>
        <v>6</v>
      </c>
      <c r="I13" s="6">
        <f>F13*4.74/60</f>
        <v>4.74</v>
      </c>
      <c r="J13" s="6">
        <f>F13*75.44/60</f>
        <v>75.44</v>
      </c>
      <c r="K13" s="48" t="s">
        <v>66</v>
      </c>
      <c r="L13" s="40">
        <v>16.100000000000001</v>
      </c>
      <c r="M13" s="78"/>
    </row>
    <row r="14" spans="1:14" ht="31.5">
      <c r="A14" s="74"/>
      <c r="B14" s="75"/>
      <c r="C14" s="76"/>
      <c r="D14" s="77" t="s">
        <v>32</v>
      </c>
      <c r="E14" s="3" t="s">
        <v>143</v>
      </c>
      <c r="F14" s="4">
        <v>200</v>
      </c>
      <c r="G14" s="5">
        <f>F14*6.3/200</f>
        <v>6.3</v>
      </c>
      <c r="H14" s="5">
        <f>F14*6.2/200</f>
        <v>6.2</v>
      </c>
      <c r="I14" s="5">
        <f>F14*17.2/200</f>
        <v>17.2</v>
      </c>
      <c r="J14" s="5">
        <f>F14*150.6/200</f>
        <v>150.6</v>
      </c>
      <c r="K14" s="48" t="s">
        <v>153</v>
      </c>
      <c r="L14" s="40">
        <v>17.86</v>
      </c>
      <c r="M14" s="78"/>
    </row>
    <row r="15" spans="1:14">
      <c r="A15" s="74"/>
      <c r="B15" s="75"/>
      <c r="C15" s="76"/>
      <c r="D15" s="77" t="s">
        <v>33</v>
      </c>
      <c r="E15" s="8" t="s">
        <v>48</v>
      </c>
      <c r="F15" s="6">
        <v>90</v>
      </c>
      <c r="G15" s="6">
        <f>F15*14.04/90</f>
        <v>14.04</v>
      </c>
      <c r="H15" s="6">
        <f>F15*17.46/90</f>
        <v>17.46</v>
      </c>
      <c r="I15" s="6">
        <f>F15*14.31/90</f>
        <v>14.31</v>
      </c>
      <c r="J15" s="6">
        <f>F15*270.86/90</f>
        <v>270.86</v>
      </c>
      <c r="K15" s="48" t="s">
        <v>49</v>
      </c>
      <c r="L15" s="40">
        <v>77.88</v>
      </c>
      <c r="M15" s="87"/>
      <c r="N15" s="87"/>
    </row>
    <row r="16" spans="1:14">
      <c r="A16" s="74"/>
      <c r="B16" s="75"/>
      <c r="C16" s="76"/>
      <c r="D16" s="77" t="s">
        <v>34</v>
      </c>
      <c r="E16" s="3" t="s">
        <v>35</v>
      </c>
      <c r="F16" s="4">
        <v>150</v>
      </c>
      <c r="G16" s="6">
        <f>F16*5.33/150</f>
        <v>5.33</v>
      </c>
      <c r="H16" s="6">
        <f>F16*3/150</f>
        <v>3</v>
      </c>
      <c r="I16" s="6">
        <f>F16*32.4/150</f>
        <v>32.4</v>
      </c>
      <c r="J16" s="6">
        <f>F16*177.75/150</f>
        <v>177.75</v>
      </c>
      <c r="K16" s="48" t="s">
        <v>148</v>
      </c>
      <c r="L16" s="40">
        <v>9.91</v>
      </c>
      <c r="M16" s="78"/>
    </row>
    <row r="17" spans="1:13">
      <c r="A17" s="74"/>
      <c r="B17" s="75"/>
      <c r="C17" s="76"/>
      <c r="D17" s="77" t="s">
        <v>72</v>
      </c>
      <c r="E17" s="3" t="s">
        <v>36</v>
      </c>
      <c r="F17" s="4">
        <v>200</v>
      </c>
      <c r="G17" s="5">
        <f>0.4*F17/200</f>
        <v>0.4</v>
      </c>
      <c r="H17" s="5">
        <f>0.2*F17/200</f>
        <v>0.2</v>
      </c>
      <c r="I17" s="5">
        <f>16.1*F17/200</f>
        <v>16.100000000000001</v>
      </c>
      <c r="J17" s="5">
        <f>68*F17/200</f>
        <v>68</v>
      </c>
      <c r="K17" s="48">
        <v>44206</v>
      </c>
      <c r="L17" s="40">
        <v>16.88</v>
      </c>
      <c r="M17" s="78"/>
    </row>
    <row r="18" spans="1:13" ht="31.5">
      <c r="A18" s="74"/>
      <c r="B18" s="75"/>
      <c r="C18" s="76"/>
      <c r="D18" s="77" t="s">
        <v>37</v>
      </c>
      <c r="E18" s="7" t="s">
        <v>38</v>
      </c>
      <c r="F18" s="6">
        <v>30</v>
      </c>
      <c r="G18" s="6">
        <f>SUM(F18*2.37/30)</f>
        <v>2.37</v>
      </c>
      <c r="H18" s="6">
        <f>SUM(F18*0.3/30)</f>
        <v>0.3</v>
      </c>
      <c r="I18" s="6">
        <f>SUM(F18*14.49/30)</f>
        <v>14.49</v>
      </c>
      <c r="J18" s="6">
        <f>SUM(F18*70.14/30)</f>
        <v>70.14</v>
      </c>
      <c r="K18" s="48" t="s">
        <v>27</v>
      </c>
      <c r="L18" s="40">
        <v>3.14</v>
      </c>
      <c r="M18" s="78"/>
    </row>
    <row r="19" spans="1:13">
      <c r="A19" s="74"/>
      <c r="B19" s="75"/>
      <c r="C19" s="76"/>
      <c r="D19" s="77" t="s">
        <v>39</v>
      </c>
      <c r="E19" s="3" t="s">
        <v>101</v>
      </c>
      <c r="F19" s="6">
        <v>30</v>
      </c>
      <c r="G19" s="6">
        <f>SUM(F19*1.68/30)</f>
        <v>1.68</v>
      </c>
      <c r="H19" s="6">
        <f>SUM(F19*0.33/30)</f>
        <v>0.33</v>
      </c>
      <c r="I19" s="6">
        <f>SUM(F19*14.82/30)</f>
        <v>14.82</v>
      </c>
      <c r="J19" s="6">
        <f>SUM(F19*68.97/30)</f>
        <v>68.97</v>
      </c>
      <c r="K19" s="48" t="s">
        <v>41</v>
      </c>
      <c r="L19" s="40">
        <v>3.28</v>
      </c>
      <c r="M19" s="78"/>
    </row>
    <row r="20" spans="1:13">
      <c r="A20" s="74"/>
      <c r="B20" s="75"/>
      <c r="C20" s="76"/>
      <c r="D20" s="79"/>
      <c r="E20" s="79"/>
      <c r="F20" s="80"/>
      <c r="G20" s="80"/>
      <c r="H20" s="80"/>
      <c r="I20" s="80"/>
      <c r="J20" s="80"/>
      <c r="K20" s="46"/>
      <c r="L20" s="40"/>
      <c r="M20" s="78"/>
    </row>
    <row r="21" spans="1:13">
      <c r="A21" s="74"/>
      <c r="B21" s="75"/>
      <c r="C21" s="76"/>
      <c r="D21" s="79"/>
      <c r="E21" s="79"/>
      <c r="F21" s="80"/>
      <c r="G21" s="80"/>
      <c r="H21" s="80"/>
      <c r="I21" s="80"/>
      <c r="J21" s="80"/>
      <c r="K21" s="46"/>
      <c r="L21" s="40"/>
      <c r="M21" s="78"/>
    </row>
    <row r="22" spans="1:13">
      <c r="A22" s="81"/>
      <c r="B22" s="82"/>
      <c r="C22" s="83"/>
      <c r="D22" s="84" t="s">
        <v>29</v>
      </c>
      <c r="E22" s="85"/>
      <c r="F22" s="86">
        <f>SUM(F13:F21)</f>
        <v>760</v>
      </c>
      <c r="G22" s="86">
        <f t="shared" ref="G22:J22" si="0">SUM(G13:G21)</f>
        <v>30.719999999999995</v>
      </c>
      <c r="H22" s="86">
        <f t="shared" si="0"/>
        <v>33.489999999999995</v>
      </c>
      <c r="I22" s="86">
        <f t="shared" si="0"/>
        <v>114.06</v>
      </c>
      <c r="J22" s="86">
        <f t="shared" si="0"/>
        <v>881.76</v>
      </c>
      <c r="K22" s="47"/>
      <c r="L22" s="28">
        <f>L13+L14+L15+L16+L17+L18+L19+L20</f>
        <v>145.04999999999998</v>
      </c>
      <c r="M22" s="78"/>
    </row>
    <row r="23" spans="1:13">
      <c r="A23" s="81">
        <f>A6</f>
        <v>1</v>
      </c>
      <c r="B23" s="82">
        <f>B6</f>
        <v>1</v>
      </c>
      <c r="C23" s="111" t="s">
        <v>40</v>
      </c>
      <c r="D23" s="112"/>
      <c r="E23" s="85"/>
      <c r="F23" s="86">
        <f>F12+F22</f>
        <v>1340</v>
      </c>
      <c r="G23" s="86">
        <f t="shared" ref="G23:J23" si="1">G12+G22</f>
        <v>49.5</v>
      </c>
      <c r="H23" s="86">
        <f t="shared" si="1"/>
        <v>52.519999999999996</v>
      </c>
      <c r="I23" s="86">
        <f t="shared" si="1"/>
        <v>203.03</v>
      </c>
      <c r="J23" s="86">
        <f t="shared" si="1"/>
        <v>1484.23</v>
      </c>
      <c r="K23" s="49"/>
      <c r="L23" s="28">
        <f>L12+L22</f>
        <v>270.08999999999997</v>
      </c>
      <c r="M23" s="78"/>
    </row>
    <row r="24" spans="1:13">
      <c r="A24" s="74">
        <v>1</v>
      </c>
      <c r="B24" s="75">
        <v>2</v>
      </c>
      <c r="C24" s="76" t="s">
        <v>22</v>
      </c>
      <c r="D24" s="77" t="s">
        <v>23</v>
      </c>
      <c r="E24" s="29" t="s">
        <v>107</v>
      </c>
      <c r="F24" s="30">
        <v>250</v>
      </c>
      <c r="G24" s="30">
        <f>F24*7.97/300</f>
        <v>6.6416666666666666</v>
      </c>
      <c r="H24" s="30">
        <f>F24*15.48/300</f>
        <v>12.9</v>
      </c>
      <c r="I24" s="30">
        <f>F24*28.63/300</f>
        <v>23.858333333333334</v>
      </c>
      <c r="J24" s="30">
        <f>F24*285.72/300</f>
        <v>238.1</v>
      </c>
      <c r="K24" s="58" t="s">
        <v>116</v>
      </c>
      <c r="L24" s="40">
        <v>38.54</v>
      </c>
      <c r="M24" s="78"/>
    </row>
    <row r="25" spans="1:13">
      <c r="A25" s="74"/>
      <c r="B25" s="75"/>
      <c r="C25" s="76"/>
      <c r="D25" s="77" t="s">
        <v>23</v>
      </c>
      <c r="E25" s="29" t="s">
        <v>108</v>
      </c>
      <c r="F25" s="30">
        <v>40</v>
      </c>
      <c r="G25" s="31">
        <f>F25*5.1/40</f>
        <v>5.0999999999999996</v>
      </c>
      <c r="H25" s="31">
        <f>F25*4.68/40</f>
        <v>4.68</v>
      </c>
      <c r="I25" s="31">
        <v>0.3</v>
      </c>
      <c r="J25" s="30">
        <f>F25*63/40</f>
        <v>63</v>
      </c>
      <c r="K25" s="58" t="s">
        <v>115</v>
      </c>
      <c r="L25" s="40">
        <v>17.600000000000001</v>
      </c>
      <c r="M25" s="78"/>
    </row>
    <row r="26" spans="1:13">
      <c r="A26" s="74"/>
      <c r="B26" s="75"/>
      <c r="C26" s="76"/>
      <c r="D26" s="77" t="s">
        <v>24</v>
      </c>
      <c r="E26" s="32" t="s">
        <v>103</v>
      </c>
      <c r="F26" s="30">
        <v>200</v>
      </c>
      <c r="G26" s="31">
        <v>3.6</v>
      </c>
      <c r="H26" s="31">
        <v>3.3</v>
      </c>
      <c r="I26" s="31">
        <v>22.8</v>
      </c>
      <c r="J26" s="31">
        <v>135</v>
      </c>
      <c r="K26" s="58" t="s">
        <v>117</v>
      </c>
      <c r="L26" s="40">
        <v>23.46</v>
      </c>
      <c r="M26" s="78"/>
    </row>
    <row r="27" spans="1:13" ht="31.5">
      <c r="A27" s="74"/>
      <c r="B27" s="75"/>
      <c r="C27" s="76"/>
      <c r="D27" s="77" t="s">
        <v>37</v>
      </c>
      <c r="E27" s="32" t="s">
        <v>38</v>
      </c>
      <c r="F27" s="30">
        <v>30</v>
      </c>
      <c r="G27" s="31">
        <f>F27*2.37/30</f>
        <v>2.37</v>
      </c>
      <c r="H27" s="31">
        <f>F27*0.3/30</f>
        <v>0.3</v>
      </c>
      <c r="I27" s="31">
        <f>F27*14.49/30</f>
        <v>14.49</v>
      </c>
      <c r="J27" s="31">
        <f>F27*70.14/30</f>
        <v>70.14</v>
      </c>
      <c r="K27" s="58" t="s">
        <v>27</v>
      </c>
      <c r="L27" s="40">
        <v>3.14</v>
      </c>
      <c r="M27" s="78"/>
    </row>
    <row r="28" spans="1:13">
      <c r="A28" s="74"/>
      <c r="B28" s="75"/>
      <c r="C28" s="76"/>
      <c r="D28" s="77" t="s">
        <v>39</v>
      </c>
      <c r="E28" s="32" t="s">
        <v>101</v>
      </c>
      <c r="F28" s="31">
        <v>30</v>
      </c>
      <c r="G28" s="20">
        <f>F28*1.68/30</f>
        <v>1.68</v>
      </c>
      <c r="H28" s="20">
        <f>F28*0.33/30</f>
        <v>0.33</v>
      </c>
      <c r="I28" s="20">
        <f>F28*14.82/30</f>
        <v>14.82</v>
      </c>
      <c r="J28" s="20">
        <f>F28*68.97/30</f>
        <v>68.97</v>
      </c>
      <c r="K28" s="58" t="s">
        <v>41</v>
      </c>
      <c r="L28" s="40">
        <v>3.28</v>
      </c>
      <c r="M28" s="78"/>
    </row>
    <row r="29" spans="1:13">
      <c r="A29" s="74"/>
      <c r="B29" s="75"/>
      <c r="C29" s="76"/>
      <c r="D29" s="79" t="s">
        <v>147</v>
      </c>
      <c r="E29" s="33" t="s">
        <v>65</v>
      </c>
      <c r="F29" s="34">
        <v>100</v>
      </c>
      <c r="G29" s="34">
        <v>0.4</v>
      </c>
      <c r="H29" s="34">
        <v>0.4</v>
      </c>
      <c r="I29" s="34">
        <v>10.95</v>
      </c>
      <c r="J29" s="34">
        <v>49</v>
      </c>
      <c r="K29" s="59" t="s">
        <v>27</v>
      </c>
      <c r="L29" s="40">
        <v>39.020000000000003</v>
      </c>
      <c r="M29" s="78"/>
    </row>
    <row r="30" spans="1:13">
      <c r="A30" s="81"/>
      <c r="B30" s="82"/>
      <c r="C30" s="83"/>
      <c r="D30" s="84" t="s">
        <v>29</v>
      </c>
      <c r="E30" s="85"/>
      <c r="F30" s="86">
        <f>SUM(F24:F29)</f>
        <v>650</v>
      </c>
      <c r="G30" s="86">
        <f>SUM(G24:G29)</f>
        <v>19.791666666666664</v>
      </c>
      <c r="H30" s="86">
        <f>SUM(H24:H29)</f>
        <v>21.909999999999997</v>
      </c>
      <c r="I30" s="86">
        <f>SUM(I24:I29)</f>
        <v>87.218333333333348</v>
      </c>
      <c r="J30" s="86">
        <f>SUM(J24:J29)</f>
        <v>624.21</v>
      </c>
      <c r="K30" s="47"/>
      <c r="L30" s="28">
        <f>SUM(L24:L29)</f>
        <v>125.03999999999999</v>
      </c>
      <c r="M30" s="78"/>
    </row>
    <row r="31" spans="1:13" ht="31.5">
      <c r="A31" s="74">
        <v>1</v>
      </c>
      <c r="B31" s="75">
        <v>2</v>
      </c>
      <c r="C31" s="76" t="s">
        <v>30</v>
      </c>
      <c r="D31" s="77" t="s">
        <v>31</v>
      </c>
      <c r="E31" s="3" t="s">
        <v>67</v>
      </c>
      <c r="F31" s="6">
        <v>60</v>
      </c>
      <c r="G31" s="6">
        <f>F31*0.84/60</f>
        <v>0.84</v>
      </c>
      <c r="H31" s="6">
        <f>F31*3.6/60</f>
        <v>3.6</v>
      </c>
      <c r="I31" s="6">
        <f>F31*4.08/60</f>
        <v>4.08</v>
      </c>
      <c r="J31" s="6">
        <f>F31*52.2/60</f>
        <v>52.2</v>
      </c>
      <c r="K31" s="46" t="s">
        <v>129</v>
      </c>
      <c r="L31" s="40">
        <v>5.67</v>
      </c>
      <c r="M31" s="78"/>
    </row>
    <row r="32" spans="1:13" ht="31.5">
      <c r="A32" s="74"/>
      <c r="B32" s="75"/>
      <c r="C32" s="76"/>
      <c r="D32" s="77" t="s">
        <v>32</v>
      </c>
      <c r="E32" s="8" t="s">
        <v>102</v>
      </c>
      <c r="F32" s="6">
        <v>200</v>
      </c>
      <c r="G32" s="6">
        <f>F32*3.5/200</f>
        <v>3.5</v>
      </c>
      <c r="H32" s="6">
        <f>F32*7.22/200</f>
        <v>7.22</v>
      </c>
      <c r="I32" s="6">
        <f>F32*9.4/200</f>
        <v>9.4</v>
      </c>
      <c r="J32" s="6">
        <f>F32*116.8/200</f>
        <v>116.8</v>
      </c>
      <c r="K32" s="46" t="s">
        <v>154</v>
      </c>
      <c r="L32" s="40">
        <v>23.69</v>
      </c>
      <c r="M32" s="78"/>
    </row>
    <row r="33" spans="1:14">
      <c r="A33" s="74"/>
      <c r="B33" s="75"/>
      <c r="C33" s="76"/>
      <c r="D33" s="77" t="s">
        <v>33</v>
      </c>
      <c r="E33" s="8" t="s">
        <v>52</v>
      </c>
      <c r="F33" s="6">
        <v>200</v>
      </c>
      <c r="G33" s="6">
        <f>F33*14.8/200</f>
        <v>14.8</v>
      </c>
      <c r="H33" s="6">
        <f>F33*16.51/200</f>
        <v>16.510000000000002</v>
      </c>
      <c r="I33" s="6">
        <f>F33*34.55/200</f>
        <v>34.549999999999997</v>
      </c>
      <c r="J33" s="6">
        <f>345.76*F33/200</f>
        <v>345.76</v>
      </c>
      <c r="K33" s="46">
        <v>44294</v>
      </c>
      <c r="L33" s="40">
        <v>101.64</v>
      </c>
      <c r="M33" s="78"/>
    </row>
    <row r="34" spans="1:14">
      <c r="A34" s="74"/>
      <c r="B34" s="75"/>
      <c r="C34" s="76"/>
      <c r="D34" s="77" t="s">
        <v>72</v>
      </c>
      <c r="E34" s="8" t="s">
        <v>47</v>
      </c>
      <c r="F34" s="6">
        <v>200</v>
      </c>
      <c r="G34" s="6">
        <f>F34*H34/200</f>
        <v>0</v>
      </c>
      <c r="H34" s="6">
        <f>F34*0/200</f>
        <v>0</v>
      </c>
      <c r="I34" s="6">
        <f>F34*27.8/200</f>
        <v>27.8</v>
      </c>
      <c r="J34" s="6">
        <f>F34*111/200</f>
        <v>111</v>
      </c>
      <c r="K34" s="46">
        <v>948</v>
      </c>
      <c r="L34" s="40">
        <v>5.54</v>
      </c>
      <c r="M34" s="78"/>
    </row>
    <row r="35" spans="1:14" ht="31.5">
      <c r="A35" s="74"/>
      <c r="B35" s="75"/>
      <c r="C35" s="76"/>
      <c r="D35" s="77" t="s">
        <v>37</v>
      </c>
      <c r="E35" s="7" t="s">
        <v>38</v>
      </c>
      <c r="F35" s="6">
        <v>50</v>
      </c>
      <c r="G35" s="6">
        <f>SUM(F35*3.95/50)</f>
        <v>3.95</v>
      </c>
      <c r="H35" s="6">
        <f>SUM(F35*0.5/50)</f>
        <v>0.5</v>
      </c>
      <c r="I35" s="6">
        <f>SUM(F35*24.15/50)</f>
        <v>24.15</v>
      </c>
      <c r="J35" s="6">
        <f>SUM(F35*116.9/50)</f>
        <v>116.9</v>
      </c>
      <c r="K35" s="46" t="s">
        <v>27</v>
      </c>
      <c r="L35" s="40">
        <v>5.24</v>
      </c>
      <c r="M35" s="78"/>
    </row>
    <row r="36" spans="1:14">
      <c r="A36" s="74"/>
      <c r="B36" s="75"/>
      <c r="C36" s="76"/>
      <c r="D36" s="77" t="s">
        <v>39</v>
      </c>
      <c r="E36" s="7" t="s">
        <v>101</v>
      </c>
      <c r="F36" s="6">
        <v>30</v>
      </c>
      <c r="G36" s="6">
        <f>SUM(F36*1.68/30)</f>
        <v>1.68</v>
      </c>
      <c r="H36" s="6">
        <f>SUM(F36*0.33/30)</f>
        <v>0.33</v>
      </c>
      <c r="I36" s="6">
        <f>SUM(F36*14.82/30)</f>
        <v>14.82</v>
      </c>
      <c r="J36" s="6">
        <f>SUM(F36*68.97/30)</f>
        <v>68.97</v>
      </c>
      <c r="K36" s="46" t="s">
        <v>27</v>
      </c>
      <c r="L36" s="40">
        <v>3.27</v>
      </c>
      <c r="M36" s="78"/>
    </row>
    <row r="37" spans="1:14">
      <c r="A37" s="74"/>
      <c r="B37" s="75"/>
      <c r="C37" s="76"/>
      <c r="D37" s="79"/>
      <c r="E37" s="79"/>
      <c r="F37" s="23"/>
      <c r="G37" s="23"/>
      <c r="H37" s="23"/>
      <c r="I37" s="23"/>
      <c r="J37" s="23"/>
      <c r="K37" s="46"/>
      <c r="L37" s="40"/>
      <c r="M37" s="78"/>
    </row>
    <row r="38" spans="1:14">
      <c r="A38" s="74"/>
      <c r="B38" s="75"/>
      <c r="C38" s="76"/>
      <c r="D38" s="79"/>
      <c r="E38" s="79"/>
      <c r="F38" s="23"/>
      <c r="G38" s="23"/>
      <c r="H38" s="23"/>
      <c r="I38" s="23"/>
      <c r="J38" s="23"/>
      <c r="K38" s="46"/>
      <c r="L38" s="40"/>
      <c r="M38" s="78"/>
    </row>
    <row r="39" spans="1:14">
      <c r="A39" s="81"/>
      <c r="B39" s="82"/>
      <c r="C39" s="83"/>
      <c r="D39" s="84" t="s">
        <v>29</v>
      </c>
      <c r="E39" s="85"/>
      <c r="F39" s="86">
        <f>SUM(F31:F38)</f>
        <v>740</v>
      </c>
      <c r="G39" s="86">
        <f>SUM(G31:G38)</f>
        <v>24.77</v>
      </c>
      <c r="H39" s="86">
        <f>SUM(H31:H38)</f>
        <v>28.16</v>
      </c>
      <c r="I39" s="86">
        <f>SUM(I31:I38)</f>
        <v>114.79999999999998</v>
      </c>
      <c r="J39" s="86">
        <f>SUM(J31:J38)</f>
        <v>811.63</v>
      </c>
      <c r="K39" s="47"/>
      <c r="L39" s="28">
        <f>SUM(L31:L38)</f>
        <v>145.05000000000001</v>
      </c>
      <c r="M39" s="78"/>
    </row>
    <row r="40" spans="1:14">
      <c r="A40" s="81">
        <f>A24</f>
        <v>1</v>
      </c>
      <c r="B40" s="82">
        <f>B24</f>
        <v>2</v>
      </c>
      <c r="C40" s="111" t="s">
        <v>40</v>
      </c>
      <c r="D40" s="112"/>
      <c r="E40" s="85"/>
      <c r="F40" s="86">
        <f>F30+F39</f>
        <v>1390</v>
      </c>
      <c r="G40" s="86">
        <f>G30+G39</f>
        <v>44.561666666666667</v>
      </c>
      <c r="H40" s="86">
        <f>H30+H39</f>
        <v>50.069999999999993</v>
      </c>
      <c r="I40" s="86">
        <f>I30+I39</f>
        <v>202.01833333333332</v>
      </c>
      <c r="J40" s="86">
        <f>J30+J39</f>
        <v>1435.8400000000001</v>
      </c>
      <c r="K40" s="47"/>
      <c r="L40" s="28">
        <f>L30+L39</f>
        <v>270.09000000000003</v>
      </c>
      <c r="M40" s="78"/>
    </row>
    <row r="41" spans="1:14" ht="31.5">
      <c r="A41" s="74">
        <v>1</v>
      </c>
      <c r="B41" s="75">
        <v>3</v>
      </c>
      <c r="C41" s="76" t="s">
        <v>22</v>
      </c>
      <c r="D41" s="77" t="s">
        <v>23</v>
      </c>
      <c r="E41" s="29" t="s">
        <v>109</v>
      </c>
      <c r="F41" s="31">
        <v>250</v>
      </c>
      <c r="G41" s="31">
        <f>F41*5.4/200</f>
        <v>6.75</v>
      </c>
      <c r="H41" s="31">
        <f>F41*12.63/250</f>
        <v>12.63</v>
      </c>
      <c r="I41" s="31">
        <f>F41*32.08/250</f>
        <v>32.08</v>
      </c>
      <c r="J41" s="31">
        <f>F41*268.93/250</f>
        <v>268.93</v>
      </c>
      <c r="K41" s="58" t="s">
        <v>123</v>
      </c>
      <c r="L41" s="40">
        <v>46.58</v>
      </c>
      <c r="M41" s="78"/>
      <c r="N41" s="78"/>
    </row>
    <row r="42" spans="1:14">
      <c r="A42" s="74"/>
      <c r="B42" s="75"/>
      <c r="C42" s="76"/>
      <c r="D42" s="79" t="s">
        <v>24</v>
      </c>
      <c r="E42" s="32" t="s">
        <v>110</v>
      </c>
      <c r="F42" s="31">
        <v>200</v>
      </c>
      <c r="G42" s="31">
        <v>1.5</v>
      </c>
      <c r="H42" s="31">
        <v>1.6</v>
      </c>
      <c r="I42" s="31">
        <v>12.1</v>
      </c>
      <c r="J42" s="31">
        <v>69</v>
      </c>
      <c r="K42" s="58" t="s">
        <v>122</v>
      </c>
      <c r="L42" s="40">
        <v>12.77</v>
      </c>
      <c r="M42" s="78"/>
      <c r="N42" s="78"/>
    </row>
    <row r="43" spans="1:14">
      <c r="A43" s="74"/>
      <c r="B43" s="75"/>
      <c r="C43" s="76"/>
      <c r="D43" s="77" t="s">
        <v>37</v>
      </c>
      <c r="E43" s="32" t="s">
        <v>28</v>
      </c>
      <c r="F43" s="31">
        <v>64</v>
      </c>
      <c r="G43" s="30">
        <f>F43*8.54/70</f>
        <v>7.8079999999999989</v>
      </c>
      <c r="H43" s="30">
        <f>F43*5.18/70</f>
        <v>4.7359999999999998</v>
      </c>
      <c r="I43" s="30">
        <f>F43*24.5/70</f>
        <v>22.4</v>
      </c>
      <c r="J43" s="30">
        <f>F43*178.78/70</f>
        <v>163.45599999999999</v>
      </c>
      <c r="K43" s="58" t="s">
        <v>74</v>
      </c>
      <c r="L43" s="40">
        <v>45.44</v>
      </c>
      <c r="M43" s="78"/>
      <c r="N43" s="78"/>
    </row>
    <row r="44" spans="1:14">
      <c r="A44" s="74"/>
      <c r="B44" s="75"/>
      <c r="C44" s="76"/>
      <c r="D44" s="77" t="s">
        <v>39</v>
      </c>
      <c r="E44" s="32" t="s">
        <v>101</v>
      </c>
      <c r="F44" s="31">
        <v>30</v>
      </c>
      <c r="G44" s="20">
        <f>F44*1.68/30</f>
        <v>1.68</v>
      </c>
      <c r="H44" s="20">
        <f>F44*0.33/30</f>
        <v>0.33</v>
      </c>
      <c r="I44" s="20">
        <f>F44*14.82/30</f>
        <v>14.82</v>
      </c>
      <c r="J44" s="20">
        <f>F44*68.97/30</f>
        <v>68.97</v>
      </c>
      <c r="K44" s="58" t="s">
        <v>41</v>
      </c>
      <c r="L44" s="40">
        <v>4.1900000000000004</v>
      </c>
      <c r="M44" s="78"/>
      <c r="N44" s="78"/>
    </row>
    <row r="45" spans="1:14" ht="31.5">
      <c r="A45" s="74"/>
      <c r="B45" s="75"/>
      <c r="C45" s="76"/>
      <c r="D45" s="77"/>
      <c r="E45" s="33" t="s">
        <v>111</v>
      </c>
      <c r="F45" s="31">
        <v>60</v>
      </c>
      <c r="G45" s="34">
        <f>F45*2.5/100</f>
        <v>1.5</v>
      </c>
      <c r="H45" s="34">
        <f>F45*10/100</f>
        <v>6</v>
      </c>
      <c r="I45" s="34">
        <f>F45*7.08/100</f>
        <v>4.2480000000000002</v>
      </c>
      <c r="J45" s="34">
        <f>F45*128/100</f>
        <v>76.8</v>
      </c>
      <c r="K45" s="59">
        <v>44409</v>
      </c>
      <c r="L45" s="40">
        <v>16.059999999999999</v>
      </c>
      <c r="M45" s="78"/>
      <c r="N45" s="78"/>
    </row>
    <row r="46" spans="1:14">
      <c r="A46" s="74"/>
      <c r="B46" s="75"/>
      <c r="C46" s="76"/>
      <c r="D46" s="79"/>
      <c r="E46" s="79"/>
      <c r="F46" s="88"/>
      <c r="G46" s="88"/>
      <c r="H46" s="88"/>
      <c r="I46" s="88"/>
      <c r="J46" s="88"/>
      <c r="K46" s="46"/>
      <c r="L46" s="40"/>
      <c r="M46" s="78"/>
      <c r="N46" s="78"/>
    </row>
    <row r="47" spans="1:14">
      <c r="A47" s="81"/>
      <c r="B47" s="82"/>
      <c r="C47" s="83"/>
      <c r="D47" s="84" t="s">
        <v>29</v>
      </c>
      <c r="E47" s="85"/>
      <c r="F47" s="86">
        <f>SUM(F41:F46)</f>
        <v>604</v>
      </c>
      <c r="G47" s="86">
        <f>SUM(G41:G46)</f>
        <v>19.238</v>
      </c>
      <c r="H47" s="86">
        <f>SUM(H41:H46)-0.01</f>
        <v>25.285999999999998</v>
      </c>
      <c r="I47" s="86">
        <f>SUM(I41:I46)-0.01</f>
        <v>85.638000000000005</v>
      </c>
      <c r="J47" s="86">
        <f>SUM(J41:J46)-0.01</f>
        <v>647.14599999999996</v>
      </c>
      <c r="K47" s="47"/>
      <c r="L47" s="28">
        <f>SUM(L41:L46)</f>
        <v>125.03999999999999</v>
      </c>
      <c r="M47" s="78"/>
    </row>
    <row r="48" spans="1:14" ht="47.25">
      <c r="A48" s="74">
        <f>A41</f>
        <v>1</v>
      </c>
      <c r="B48" s="75">
        <f>B41</f>
        <v>3</v>
      </c>
      <c r="C48" s="76" t="s">
        <v>30</v>
      </c>
      <c r="D48" s="77" t="s">
        <v>31</v>
      </c>
      <c r="E48" s="10" t="s">
        <v>130</v>
      </c>
      <c r="F48" s="5">
        <v>60</v>
      </c>
      <c r="G48" s="5">
        <f>F48*3.24/60</f>
        <v>3.24</v>
      </c>
      <c r="H48" s="5">
        <f>F48*7.74/60</f>
        <v>7.74</v>
      </c>
      <c r="I48" s="5">
        <f>F48*25.26/60</f>
        <v>25.26</v>
      </c>
      <c r="J48" s="5">
        <f>F48*183.84/60</f>
        <v>183.84</v>
      </c>
      <c r="K48" s="46" t="s">
        <v>76</v>
      </c>
      <c r="L48" s="40">
        <v>11.75</v>
      </c>
      <c r="M48" s="78"/>
    </row>
    <row r="49" spans="1:13">
      <c r="A49" s="74"/>
      <c r="B49" s="75"/>
      <c r="C49" s="76"/>
      <c r="D49" s="77" t="s">
        <v>32</v>
      </c>
      <c r="E49" s="8" t="s">
        <v>132</v>
      </c>
      <c r="F49" s="5">
        <v>200</v>
      </c>
      <c r="G49" s="5">
        <f>F49*2.22/200</f>
        <v>2.2200000000000002</v>
      </c>
      <c r="H49" s="5">
        <f>F49*3.84/200</f>
        <v>3.84</v>
      </c>
      <c r="I49" s="5">
        <f>F49*6.68/200</f>
        <v>6.68</v>
      </c>
      <c r="J49" s="5">
        <f>F49*70/200</f>
        <v>70</v>
      </c>
      <c r="K49" s="50" t="s">
        <v>124</v>
      </c>
      <c r="L49" s="40">
        <v>27.53</v>
      </c>
      <c r="M49" s="78"/>
    </row>
    <row r="50" spans="1:13" ht="31.5">
      <c r="A50" s="74"/>
      <c r="B50" s="75"/>
      <c r="C50" s="76"/>
      <c r="D50" s="77" t="s">
        <v>33</v>
      </c>
      <c r="E50" s="3" t="s">
        <v>133</v>
      </c>
      <c r="F50" s="6">
        <v>95</v>
      </c>
      <c r="G50" s="6">
        <f>F50*11.61/90</f>
        <v>12.255000000000001</v>
      </c>
      <c r="H50" s="6">
        <f>F50*12.06/90</f>
        <v>12.73</v>
      </c>
      <c r="I50" s="6">
        <f>F50*13.14/90</f>
        <v>13.87</v>
      </c>
      <c r="J50" s="6">
        <f>F50*207.54/90</f>
        <v>219.07</v>
      </c>
      <c r="K50" s="46" t="s">
        <v>118</v>
      </c>
      <c r="L50" s="40">
        <v>68.55</v>
      </c>
      <c r="M50" s="78"/>
    </row>
    <row r="51" spans="1:13">
      <c r="A51" s="74"/>
      <c r="B51" s="75"/>
      <c r="C51" s="76"/>
      <c r="D51" s="77" t="s">
        <v>34</v>
      </c>
      <c r="E51" s="8" t="s">
        <v>104</v>
      </c>
      <c r="F51" s="6">
        <v>150</v>
      </c>
      <c r="G51" s="6">
        <f>F51*3.25/150</f>
        <v>3.25</v>
      </c>
      <c r="H51" s="6">
        <f>F51*2.8/150</f>
        <v>2.8</v>
      </c>
      <c r="I51" s="6">
        <f>F51*11.9/150</f>
        <v>11.9</v>
      </c>
      <c r="J51" s="6">
        <f>F51*87/150</f>
        <v>87</v>
      </c>
      <c r="K51" s="50">
        <v>44533</v>
      </c>
      <c r="L51" s="40">
        <v>17.170000000000002</v>
      </c>
      <c r="M51" s="78"/>
    </row>
    <row r="52" spans="1:13">
      <c r="A52" s="74"/>
      <c r="B52" s="75"/>
      <c r="C52" s="76"/>
      <c r="D52" s="77" t="s">
        <v>72</v>
      </c>
      <c r="E52" s="8" t="s">
        <v>43</v>
      </c>
      <c r="F52" s="5">
        <v>200</v>
      </c>
      <c r="G52" s="5">
        <v>0</v>
      </c>
      <c r="H52" s="5">
        <v>0</v>
      </c>
      <c r="I52" s="5">
        <v>12</v>
      </c>
      <c r="J52" s="5">
        <v>48</v>
      </c>
      <c r="K52" s="46" t="s">
        <v>120</v>
      </c>
      <c r="L52" s="40">
        <v>12.58</v>
      </c>
      <c r="M52" s="78"/>
    </row>
    <row r="53" spans="1:13" ht="31.5">
      <c r="A53" s="74"/>
      <c r="B53" s="75"/>
      <c r="C53" s="76"/>
      <c r="D53" s="77" t="s">
        <v>37</v>
      </c>
      <c r="E53" s="7" t="s">
        <v>38</v>
      </c>
      <c r="F53" s="6">
        <v>40</v>
      </c>
      <c r="G53" s="6">
        <f>SUM(F53*3.16/40)</f>
        <v>3.16</v>
      </c>
      <c r="H53" s="6">
        <f>SUM(F53*0.4/40)</f>
        <v>0.4</v>
      </c>
      <c r="I53" s="6">
        <f>SUM(F53*19.32/40)</f>
        <v>19.32</v>
      </c>
      <c r="J53" s="6">
        <f>SUM(F53*93.52/40)</f>
        <v>93.52</v>
      </c>
      <c r="K53" s="46" t="s">
        <v>27</v>
      </c>
      <c r="L53" s="40">
        <v>4.1900000000000004</v>
      </c>
      <c r="M53" s="78"/>
    </row>
    <row r="54" spans="1:13">
      <c r="A54" s="74"/>
      <c r="B54" s="75"/>
      <c r="C54" s="76"/>
      <c r="D54" s="77" t="s">
        <v>39</v>
      </c>
      <c r="E54" s="3" t="s">
        <v>101</v>
      </c>
      <c r="F54" s="6">
        <v>30</v>
      </c>
      <c r="G54" s="6">
        <f>SUM(F54*1.68/30)</f>
        <v>1.68</v>
      </c>
      <c r="H54" s="6">
        <f>SUM(F54*0.33/30)</f>
        <v>0.33</v>
      </c>
      <c r="I54" s="6">
        <f>SUM(F54*14.82/30)</f>
        <v>14.82</v>
      </c>
      <c r="J54" s="6">
        <f>SUM(F54*68.97/30)</f>
        <v>68.97</v>
      </c>
      <c r="K54" s="46" t="s">
        <v>27</v>
      </c>
      <c r="L54" s="40">
        <v>3.28</v>
      </c>
      <c r="M54" s="78"/>
    </row>
    <row r="55" spans="1:13">
      <c r="A55" s="74"/>
      <c r="B55" s="75"/>
      <c r="C55" s="76"/>
      <c r="D55" s="79"/>
      <c r="E55" s="79"/>
      <c r="F55" s="23"/>
      <c r="G55" s="23"/>
      <c r="H55" s="23"/>
      <c r="I55" s="23"/>
      <c r="J55" s="23"/>
      <c r="K55" s="46"/>
      <c r="L55" s="40"/>
      <c r="M55" s="78"/>
    </row>
    <row r="56" spans="1:13">
      <c r="A56" s="74"/>
      <c r="B56" s="75"/>
      <c r="C56" s="76"/>
      <c r="D56" s="79"/>
      <c r="E56" s="79"/>
      <c r="F56" s="23"/>
      <c r="G56" s="23"/>
      <c r="H56" s="23"/>
      <c r="I56" s="23"/>
      <c r="J56" s="23"/>
      <c r="K56" s="46"/>
      <c r="L56" s="40"/>
      <c r="M56" s="78"/>
    </row>
    <row r="57" spans="1:13">
      <c r="A57" s="81"/>
      <c r="B57" s="82"/>
      <c r="C57" s="83"/>
      <c r="D57" s="84" t="s">
        <v>29</v>
      </c>
      <c r="E57" s="85"/>
      <c r="F57" s="86">
        <f>SUM(F48:F56)</f>
        <v>775</v>
      </c>
      <c r="G57" s="86">
        <f>SUM(G48:G56)-0.01</f>
        <v>25.795000000000002</v>
      </c>
      <c r="H57" s="86">
        <f>SUM(H48:H56)</f>
        <v>27.84</v>
      </c>
      <c r="I57" s="86">
        <f t="shared" ref="I57:J57" si="2">SUM(I48:I56)</f>
        <v>103.85</v>
      </c>
      <c r="J57" s="86">
        <f t="shared" si="2"/>
        <v>770.4</v>
      </c>
      <c r="K57" s="47"/>
      <c r="L57" s="28">
        <f>SUM(L48:L56)</f>
        <v>145.05000000000001</v>
      </c>
      <c r="M57" s="78"/>
    </row>
    <row r="58" spans="1:13">
      <c r="A58" s="81">
        <f>A41</f>
        <v>1</v>
      </c>
      <c r="B58" s="82">
        <f>B41</f>
        <v>3</v>
      </c>
      <c r="C58" s="111" t="s">
        <v>40</v>
      </c>
      <c r="D58" s="112"/>
      <c r="E58" s="85"/>
      <c r="F58" s="86">
        <f>F47+F57</f>
        <v>1379</v>
      </c>
      <c r="G58" s="86">
        <f>G47+G57+0.01</f>
        <v>45.042999999999999</v>
      </c>
      <c r="H58" s="86">
        <f t="shared" ref="H58:L58" si="3">H47+H57</f>
        <v>53.125999999999998</v>
      </c>
      <c r="I58" s="86">
        <f>I47+I57+0.01</f>
        <v>189.49799999999999</v>
      </c>
      <c r="J58" s="86">
        <f>J47+J57</f>
        <v>1417.5459999999998</v>
      </c>
      <c r="K58" s="47"/>
      <c r="L58" s="28">
        <f t="shared" si="3"/>
        <v>270.09000000000003</v>
      </c>
      <c r="M58" s="78"/>
    </row>
    <row r="59" spans="1:13">
      <c r="A59" s="74">
        <v>1</v>
      </c>
      <c r="B59" s="75">
        <v>4</v>
      </c>
      <c r="C59" s="76" t="s">
        <v>22</v>
      </c>
      <c r="D59" s="77" t="s">
        <v>23</v>
      </c>
      <c r="E59" s="32" t="s">
        <v>112</v>
      </c>
      <c r="F59" s="31">
        <v>289</v>
      </c>
      <c r="G59" s="31">
        <f>F59*10.7/300</f>
        <v>10.307666666666666</v>
      </c>
      <c r="H59" s="31">
        <f>F59*14.76/300</f>
        <v>14.218800000000002</v>
      </c>
      <c r="I59" s="31">
        <f>F59*30.72/300</f>
        <v>29.593599999999999</v>
      </c>
      <c r="J59" s="31">
        <f>F59*298.54/300</f>
        <v>287.59353333333337</v>
      </c>
      <c r="K59" s="46" t="s">
        <v>125</v>
      </c>
      <c r="L59" s="40">
        <v>71.400000000000006</v>
      </c>
      <c r="M59" s="78"/>
    </row>
    <row r="60" spans="1:13">
      <c r="A60" s="74"/>
      <c r="B60" s="75"/>
      <c r="C60" s="76"/>
      <c r="D60" s="77" t="s">
        <v>24</v>
      </c>
      <c r="E60" s="32" t="s">
        <v>25</v>
      </c>
      <c r="F60" s="31">
        <v>200</v>
      </c>
      <c r="G60" s="31">
        <v>3.1</v>
      </c>
      <c r="H60" s="31">
        <v>3.2</v>
      </c>
      <c r="I60" s="31">
        <v>14.4</v>
      </c>
      <c r="J60" s="31">
        <v>99</v>
      </c>
      <c r="K60" s="46" t="s">
        <v>126</v>
      </c>
      <c r="L60" s="40">
        <v>22.91</v>
      </c>
      <c r="M60" s="78"/>
    </row>
    <row r="61" spans="1:13">
      <c r="A61" s="74"/>
      <c r="B61" s="75"/>
      <c r="C61" s="76"/>
      <c r="D61" s="77" t="s">
        <v>37</v>
      </c>
      <c r="E61" s="32" t="s">
        <v>56</v>
      </c>
      <c r="F61" s="31">
        <v>70</v>
      </c>
      <c r="G61" s="31">
        <f>F61*3.84/60</f>
        <v>4.4800000000000004</v>
      </c>
      <c r="H61" s="31">
        <f>F61*9.24/60</f>
        <v>10.780000000000001</v>
      </c>
      <c r="I61" s="31">
        <f>F61*23.4/60</f>
        <v>27.3</v>
      </c>
      <c r="J61" s="31">
        <f>F61*192/60</f>
        <v>224</v>
      </c>
      <c r="K61" s="46" t="s">
        <v>119</v>
      </c>
      <c r="L61" s="40">
        <v>27.45</v>
      </c>
      <c r="M61" s="78"/>
    </row>
    <row r="62" spans="1:13">
      <c r="A62" s="74"/>
      <c r="B62" s="75"/>
      <c r="C62" s="76"/>
      <c r="D62" s="77" t="s">
        <v>39</v>
      </c>
      <c r="E62" s="32" t="s">
        <v>101</v>
      </c>
      <c r="F62" s="31">
        <v>30</v>
      </c>
      <c r="G62" s="20">
        <f>F62*1.68/30</f>
        <v>1.68</v>
      </c>
      <c r="H62" s="20">
        <f>F62*0.33/30</f>
        <v>0.33</v>
      </c>
      <c r="I62" s="20">
        <f>F62*14.82/30</f>
        <v>14.82</v>
      </c>
      <c r="J62" s="20">
        <f>F62*68.97/30</f>
        <v>68.97</v>
      </c>
      <c r="K62" s="46" t="s">
        <v>27</v>
      </c>
      <c r="L62" s="40">
        <v>3.28</v>
      </c>
      <c r="M62" s="78"/>
    </row>
    <row r="63" spans="1:13">
      <c r="A63" s="74"/>
      <c r="B63" s="75"/>
      <c r="C63" s="76"/>
      <c r="D63" s="79"/>
      <c r="E63" s="7"/>
      <c r="F63" s="6"/>
      <c r="G63" s="6"/>
      <c r="H63" s="6"/>
      <c r="I63" s="6"/>
      <c r="J63" s="6"/>
      <c r="K63" s="46"/>
      <c r="L63" s="40"/>
      <c r="M63" s="78"/>
    </row>
    <row r="64" spans="1:13">
      <c r="A64" s="74"/>
      <c r="B64" s="75"/>
      <c r="C64" s="76"/>
      <c r="D64" s="79"/>
      <c r="E64" s="79"/>
      <c r="F64" s="23"/>
      <c r="G64" s="23"/>
      <c r="H64" s="23"/>
      <c r="I64" s="23"/>
      <c r="J64" s="23"/>
      <c r="K64" s="46"/>
      <c r="L64" s="40"/>
      <c r="M64" s="78"/>
    </row>
    <row r="65" spans="1:13">
      <c r="A65" s="81"/>
      <c r="B65" s="82"/>
      <c r="C65" s="83"/>
      <c r="D65" s="84" t="s">
        <v>29</v>
      </c>
      <c r="E65" s="85"/>
      <c r="F65" s="86">
        <f>SUM(F59:F64)</f>
        <v>589</v>
      </c>
      <c r="G65" s="86">
        <f>SUM(G59:G64)</f>
        <v>19.567666666666668</v>
      </c>
      <c r="H65" s="86">
        <f>SUM(H59:H64)</f>
        <v>28.5288</v>
      </c>
      <c r="I65" s="86">
        <f>SUM(I59:I64)</f>
        <v>86.113599999999991</v>
      </c>
      <c r="J65" s="86">
        <f>SUM(J59:J64)</f>
        <v>679.56353333333345</v>
      </c>
      <c r="K65" s="47"/>
      <c r="L65" s="28">
        <f>SUM(L59:L64)</f>
        <v>125.04</v>
      </c>
      <c r="M65" s="78"/>
    </row>
    <row r="66" spans="1:13" ht="31.5">
      <c r="A66" s="74">
        <f>A59</f>
        <v>1</v>
      </c>
      <c r="B66" s="75">
        <f>B59</f>
        <v>4</v>
      </c>
      <c r="C66" s="76" t="s">
        <v>30</v>
      </c>
      <c r="D66" s="77" t="s">
        <v>31</v>
      </c>
      <c r="E66" s="3" t="s">
        <v>131</v>
      </c>
      <c r="F66" s="5">
        <v>60</v>
      </c>
      <c r="G66" s="5">
        <f>F66*1.7/100</f>
        <v>1.02</v>
      </c>
      <c r="H66" s="5">
        <f>F66*6/100</f>
        <v>3.6</v>
      </c>
      <c r="I66" s="5">
        <f>7.9*F66/100</f>
        <v>4.74</v>
      </c>
      <c r="J66" s="5">
        <f>F66*92.4/100</f>
        <v>55.44</v>
      </c>
      <c r="K66" s="46" t="s">
        <v>105</v>
      </c>
      <c r="L66" s="40">
        <v>9.01</v>
      </c>
      <c r="M66" s="78"/>
    </row>
    <row r="67" spans="1:13" ht="31.5">
      <c r="A67" s="74"/>
      <c r="B67" s="75"/>
      <c r="C67" s="76"/>
      <c r="D67" s="77" t="s">
        <v>32</v>
      </c>
      <c r="E67" s="9" t="s">
        <v>144</v>
      </c>
      <c r="F67" s="6">
        <v>200</v>
      </c>
      <c r="G67" s="6">
        <f>F67*7.76/200</f>
        <v>7.76</v>
      </c>
      <c r="H67" s="6">
        <f>F67*3.84/200</f>
        <v>3.84</v>
      </c>
      <c r="I67" s="6">
        <f>F67*10.48/200</f>
        <v>10.48</v>
      </c>
      <c r="J67" s="6">
        <f>F67*106.4/200</f>
        <v>106.4</v>
      </c>
      <c r="K67" s="50" t="s">
        <v>120</v>
      </c>
      <c r="L67" s="40">
        <v>35.72</v>
      </c>
      <c r="M67" s="78"/>
    </row>
    <row r="68" spans="1:13">
      <c r="A68" s="74"/>
      <c r="B68" s="75"/>
      <c r="C68" s="76"/>
      <c r="D68" s="77" t="s">
        <v>33</v>
      </c>
      <c r="E68" s="7" t="s">
        <v>42</v>
      </c>
      <c r="F68" s="6">
        <v>95</v>
      </c>
      <c r="G68" s="6">
        <f>F68*13.32/90</f>
        <v>14.06</v>
      </c>
      <c r="H68" s="6">
        <f>F68*11.16/90</f>
        <v>11.780000000000001</v>
      </c>
      <c r="I68" s="6">
        <f>F68*8.19/90</f>
        <v>8.6449999999999996</v>
      </c>
      <c r="J68" s="6">
        <f>F68*186.3/90</f>
        <v>196.65</v>
      </c>
      <c r="K68" s="46">
        <v>44325</v>
      </c>
      <c r="L68" s="40">
        <v>65.290000000000006</v>
      </c>
      <c r="M68" s="78"/>
    </row>
    <row r="69" spans="1:13">
      <c r="A69" s="74"/>
      <c r="B69" s="75"/>
      <c r="C69" s="76"/>
      <c r="D69" s="77" t="s">
        <v>34</v>
      </c>
      <c r="E69" s="9" t="s">
        <v>46</v>
      </c>
      <c r="F69" s="6">
        <v>150</v>
      </c>
      <c r="G69" s="6">
        <f>F69*6.63/150</f>
        <v>6.63</v>
      </c>
      <c r="H69" s="6">
        <f>F69*4.44/150</f>
        <v>4.4400000000000004</v>
      </c>
      <c r="I69" s="6">
        <f>F69*28.8/150</f>
        <v>28.8</v>
      </c>
      <c r="J69" s="6">
        <f>F69*181.5/150</f>
        <v>181.5</v>
      </c>
      <c r="K69" s="50" t="s">
        <v>127</v>
      </c>
      <c r="L69" s="40">
        <v>10.11</v>
      </c>
      <c r="M69" s="78"/>
    </row>
    <row r="70" spans="1:13">
      <c r="A70" s="74"/>
      <c r="B70" s="75"/>
      <c r="C70" s="76"/>
      <c r="D70" s="77" t="s">
        <v>72</v>
      </c>
      <c r="E70" s="7" t="s">
        <v>50</v>
      </c>
      <c r="F70" s="6">
        <v>200</v>
      </c>
      <c r="G70" s="6">
        <v>0.2</v>
      </c>
      <c r="H70" s="6">
        <v>0.2</v>
      </c>
      <c r="I70" s="6">
        <v>16.8</v>
      </c>
      <c r="J70" s="6">
        <v>70</v>
      </c>
      <c r="K70" s="50">
        <v>44296</v>
      </c>
      <c r="L70" s="40">
        <v>16.93</v>
      </c>
      <c r="M70" s="78"/>
    </row>
    <row r="71" spans="1:13" ht="31.5">
      <c r="A71" s="74"/>
      <c r="B71" s="75"/>
      <c r="C71" s="76"/>
      <c r="D71" s="77" t="s">
        <v>37</v>
      </c>
      <c r="E71" s="7" t="s">
        <v>38</v>
      </c>
      <c r="F71" s="6">
        <v>45</v>
      </c>
      <c r="G71" s="6">
        <f>SUM(F71*3.16/40)</f>
        <v>3.5550000000000006</v>
      </c>
      <c r="H71" s="6">
        <f>SUM(F71*0.4/40)</f>
        <v>0.45</v>
      </c>
      <c r="I71" s="6">
        <f>SUM(F71*19.32/40)</f>
        <v>21.734999999999999</v>
      </c>
      <c r="J71" s="6">
        <f>SUM(F71*93.52/40)</f>
        <v>105.21</v>
      </c>
      <c r="K71" s="46" t="s">
        <v>27</v>
      </c>
      <c r="L71" s="40">
        <v>4.71</v>
      </c>
      <c r="M71" s="78"/>
    </row>
    <row r="72" spans="1:13">
      <c r="A72" s="74"/>
      <c r="B72" s="75"/>
      <c r="C72" s="76"/>
      <c r="D72" s="77" t="s">
        <v>39</v>
      </c>
      <c r="E72" s="7" t="s">
        <v>101</v>
      </c>
      <c r="F72" s="6">
        <v>30</v>
      </c>
      <c r="G72" s="6">
        <f>SUM(F72*1.68/30)</f>
        <v>1.68</v>
      </c>
      <c r="H72" s="6">
        <f>SUM(F72*0.33/30)</f>
        <v>0.33</v>
      </c>
      <c r="I72" s="6">
        <f>SUM(F72*14.82/30)</f>
        <v>14.82</v>
      </c>
      <c r="J72" s="6">
        <f>SUM(F72*68.97/30)</f>
        <v>68.97</v>
      </c>
      <c r="K72" s="46" t="s">
        <v>27</v>
      </c>
      <c r="L72" s="40">
        <v>3.28</v>
      </c>
      <c r="M72" s="78"/>
    </row>
    <row r="73" spans="1:13">
      <c r="A73" s="74"/>
      <c r="B73" s="75"/>
      <c r="C73" s="76"/>
      <c r="D73" s="79"/>
      <c r="E73" s="79"/>
      <c r="F73" s="23"/>
      <c r="G73" s="23"/>
      <c r="H73" s="23"/>
      <c r="I73" s="23"/>
      <c r="J73" s="23"/>
      <c r="K73" s="46"/>
      <c r="L73" s="40"/>
      <c r="M73" s="78"/>
    </row>
    <row r="74" spans="1:13">
      <c r="A74" s="74"/>
      <c r="B74" s="75"/>
      <c r="C74" s="76"/>
      <c r="D74" s="79"/>
      <c r="E74" s="79"/>
      <c r="F74" s="23"/>
      <c r="G74" s="23"/>
      <c r="H74" s="23"/>
      <c r="I74" s="23"/>
      <c r="J74" s="23"/>
      <c r="K74" s="46"/>
      <c r="L74" s="40"/>
      <c r="M74" s="78"/>
    </row>
    <row r="75" spans="1:13">
      <c r="A75" s="81"/>
      <c r="B75" s="82"/>
      <c r="C75" s="83"/>
      <c r="D75" s="84" t="s">
        <v>29</v>
      </c>
      <c r="E75" s="85"/>
      <c r="F75" s="86">
        <f>SUM(F66:F74)</f>
        <v>780</v>
      </c>
      <c r="G75" s="86">
        <f t="shared" ref="G75:J75" si="4">SUM(G66:G74)</f>
        <v>34.905000000000001</v>
      </c>
      <c r="H75" s="86">
        <f t="shared" si="4"/>
        <v>24.639999999999997</v>
      </c>
      <c r="I75" s="86">
        <f t="shared" si="4"/>
        <v>106.02000000000001</v>
      </c>
      <c r="J75" s="86">
        <f t="shared" si="4"/>
        <v>784.17000000000007</v>
      </c>
      <c r="K75" s="47"/>
      <c r="L75" s="28">
        <f>SUM(L66:L74)</f>
        <v>145.05000000000001</v>
      </c>
      <c r="M75" s="78"/>
    </row>
    <row r="76" spans="1:13">
      <c r="A76" s="81">
        <f>A59</f>
        <v>1</v>
      </c>
      <c r="B76" s="82">
        <f>B59</f>
        <v>4</v>
      </c>
      <c r="C76" s="111" t="s">
        <v>40</v>
      </c>
      <c r="D76" s="112"/>
      <c r="E76" s="85"/>
      <c r="F76" s="86">
        <f>F65+F75</f>
        <v>1369</v>
      </c>
      <c r="G76" s="86">
        <f>G65+G75+0.01</f>
        <v>54.482666666666667</v>
      </c>
      <c r="H76" s="86">
        <f t="shared" ref="H76:L76" si="5">H65+H75</f>
        <v>53.168799999999997</v>
      </c>
      <c r="I76" s="86">
        <f t="shared" si="5"/>
        <v>192.1336</v>
      </c>
      <c r="J76" s="86">
        <f t="shared" si="5"/>
        <v>1463.7335333333335</v>
      </c>
      <c r="K76" s="47"/>
      <c r="L76" s="28">
        <f t="shared" si="5"/>
        <v>270.09000000000003</v>
      </c>
      <c r="M76" s="78"/>
    </row>
    <row r="77" spans="1:13">
      <c r="A77" s="74">
        <v>1</v>
      </c>
      <c r="B77" s="75">
        <v>5</v>
      </c>
      <c r="C77" s="76" t="s">
        <v>22</v>
      </c>
      <c r="D77" s="77" t="s">
        <v>23</v>
      </c>
      <c r="E77" s="8" t="s">
        <v>77</v>
      </c>
      <c r="F77" s="5">
        <v>225</v>
      </c>
      <c r="G77" s="5">
        <f>F77*19.5/200</f>
        <v>21.9375</v>
      </c>
      <c r="H77" s="5">
        <f>F77*21.2/200</f>
        <v>23.85</v>
      </c>
      <c r="I77" s="5">
        <f>F77*17.7/200</f>
        <v>19.912500000000001</v>
      </c>
      <c r="J77" s="5">
        <f>F77*339.6/200</f>
        <v>382.05</v>
      </c>
      <c r="K77" s="50" t="s">
        <v>79</v>
      </c>
      <c r="L77" s="40">
        <v>97.5</v>
      </c>
      <c r="M77" s="78"/>
    </row>
    <row r="78" spans="1:13">
      <c r="A78" s="74"/>
      <c r="B78" s="75"/>
      <c r="C78" s="76"/>
      <c r="D78" s="77" t="s">
        <v>24</v>
      </c>
      <c r="E78" s="3" t="s">
        <v>78</v>
      </c>
      <c r="F78" s="11">
        <v>200</v>
      </c>
      <c r="G78" s="5">
        <v>0.1</v>
      </c>
      <c r="H78" s="5">
        <v>0</v>
      </c>
      <c r="I78" s="5">
        <v>9.8000000000000007</v>
      </c>
      <c r="J78" s="5">
        <v>39</v>
      </c>
      <c r="K78" s="50" t="s">
        <v>155</v>
      </c>
      <c r="L78" s="40">
        <v>3.17</v>
      </c>
      <c r="M78" s="78"/>
    </row>
    <row r="79" spans="1:13">
      <c r="A79" s="74"/>
      <c r="B79" s="75"/>
      <c r="C79" s="76"/>
      <c r="D79" s="77" t="s">
        <v>37</v>
      </c>
      <c r="E79" s="3" t="s">
        <v>56</v>
      </c>
      <c r="F79" s="4">
        <v>60</v>
      </c>
      <c r="G79" s="4">
        <f>F79*3.2/50</f>
        <v>3.84</v>
      </c>
      <c r="H79" s="4">
        <f>F79*7.7/50</f>
        <v>9.24</v>
      </c>
      <c r="I79" s="4">
        <f>F79*19.5/50</f>
        <v>23.4</v>
      </c>
      <c r="J79" s="4">
        <f>F79*160/50</f>
        <v>192</v>
      </c>
      <c r="K79" s="50" t="s">
        <v>119</v>
      </c>
      <c r="L79" s="40">
        <v>19.72</v>
      </c>
      <c r="M79" s="78"/>
    </row>
    <row r="80" spans="1:13">
      <c r="A80" s="74"/>
      <c r="B80" s="75"/>
      <c r="C80" s="76"/>
      <c r="D80" s="77" t="s">
        <v>39</v>
      </c>
      <c r="E80" s="7" t="s">
        <v>101</v>
      </c>
      <c r="F80" s="6">
        <v>43</v>
      </c>
      <c r="G80" s="6">
        <f>SUM(F80*2.8/50)</f>
        <v>2.4079999999999999</v>
      </c>
      <c r="H80" s="6">
        <f>SUM(F80*0.55/50)</f>
        <v>0.47300000000000003</v>
      </c>
      <c r="I80" s="6">
        <f>SUM(F80*24.7/50)</f>
        <v>21.241999999999997</v>
      </c>
      <c r="J80" s="6">
        <f>SUM(F80*114.95/50)</f>
        <v>98.857000000000014</v>
      </c>
      <c r="K80" s="46" t="s">
        <v>27</v>
      </c>
      <c r="L80" s="40">
        <v>4.6500000000000004</v>
      </c>
      <c r="M80" s="78"/>
    </row>
    <row r="81" spans="1:13">
      <c r="A81" s="74"/>
      <c r="B81" s="75"/>
      <c r="C81" s="76"/>
      <c r="D81" s="77"/>
      <c r="E81" s="7"/>
      <c r="F81" s="6"/>
      <c r="G81" s="6"/>
      <c r="H81" s="6"/>
      <c r="I81" s="6"/>
      <c r="J81" s="6"/>
      <c r="K81" s="46"/>
      <c r="L81" s="40"/>
      <c r="M81" s="78"/>
    </row>
    <row r="82" spans="1:13">
      <c r="A82" s="81"/>
      <c r="B82" s="82"/>
      <c r="C82" s="83"/>
      <c r="D82" s="84" t="s">
        <v>29</v>
      </c>
      <c r="E82" s="85"/>
      <c r="F82" s="86">
        <f>SUM(F77:F81)</f>
        <v>528</v>
      </c>
      <c r="G82" s="86">
        <f>SUM(G77:G81)</f>
        <v>28.285500000000003</v>
      </c>
      <c r="H82" s="86">
        <f>SUM(H77:H81)</f>
        <v>33.563000000000002</v>
      </c>
      <c r="I82" s="86">
        <f>SUM(I77:I81)</f>
        <v>74.354500000000002</v>
      </c>
      <c r="J82" s="86">
        <f>SUM(J77:J81)</f>
        <v>711.90699999999993</v>
      </c>
      <c r="K82" s="47"/>
      <c r="L82" s="28">
        <f>SUM(L77:L81)</f>
        <v>125.04</v>
      </c>
      <c r="M82" s="78"/>
    </row>
    <row r="83" spans="1:13" ht="31.5">
      <c r="A83" s="74">
        <f>A77</f>
        <v>1</v>
      </c>
      <c r="B83" s="75">
        <f>B77</f>
        <v>5</v>
      </c>
      <c r="C83" s="76" t="s">
        <v>30</v>
      </c>
      <c r="D83" s="77" t="s">
        <v>31</v>
      </c>
      <c r="E83" s="3" t="s">
        <v>80</v>
      </c>
      <c r="F83" s="5">
        <v>60</v>
      </c>
      <c r="G83" s="107">
        <f>F83*0.6/60</f>
        <v>0.6</v>
      </c>
      <c r="H83" s="107">
        <f>F83*3.6/60</f>
        <v>3.6</v>
      </c>
      <c r="I83" s="107">
        <f>F83*5.76/60</f>
        <v>5.76</v>
      </c>
      <c r="J83" s="107">
        <f>F83*57.84/60</f>
        <v>57.84</v>
      </c>
      <c r="K83" s="46" t="s">
        <v>82</v>
      </c>
      <c r="L83" s="40">
        <v>8.35</v>
      </c>
      <c r="M83" s="78"/>
    </row>
    <row r="84" spans="1:13" ht="31.5">
      <c r="A84" s="74"/>
      <c r="B84" s="75"/>
      <c r="C84" s="76"/>
      <c r="D84" s="77" t="s">
        <v>32</v>
      </c>
      <c r="E84" s="3" t="s">
        <v>106</v>
      </c>
      <c r="F84" s="108">
        <v>200</v>
      </c>
      <c r="G84" s="109">
        <f>F84*2.66/250+1.6+0.3</f>
        <v>4.0280000000000005</v>
      </c>
      <c r="H84" s="109">
        <f>F84*7.28/250+1.7</f>
        <v>7.524</v>
      </c>
      <c r="I84" s="109">
        <f>F84*12.6/250+0.6</f>
        <v>10.68</v>
      </c>
      <c r="J84" s="109">
        <f>F84*126.56/250+22+3.6</f>
        <v>126.848</v>
      </c>
      <c r="K84" s="106" t="s">
        <v>83</v>
      </c>
      <c r="L84" s="40">
        <v>27.62</v>
      </c>
      <c r="M84" s="78"/>
    </row>
    <row r="85" spans="1:13">
      <c r="A85" s="74"/>
      <c r="B85" s="75"/>
      <c r="C85" s="76"/>
      <c r="D85" s="77" t="s">
        <v>33</v>
      </c>
      <c r="E85" s="3" t="s">
        <v>81</v>
      </c>
      <c r="F85" s="4">
        <v>90</v>
      </c>
      <c r="G85" s="110">
        <f>F85*11.7/90</f>
        <v>11.7</v>
      </c>
      <c r="H85" s="110">
        <f>F85*11.61/90</f>
        <v>11.609999999999998</v>
      </c>
      <c r="I85" s="110">
        <f>F85*5.76/90</f>
        <v>5.76</v>
      </c>
      <c r="J85" s="110">
        <f>F85*194/100</f>
        <v>174.6</v>
      </c>
      <c r="K85" s="46" t="s">
        <v>156</v>
      </c>
      <c r="L85" s="40">
        <v>68.66</v>
      </c>
      <c r="M85" s="78"/>
    </row>
    <row r="86" spans="1:13">
      <c r="A86" s="74"/>
      <c r="B86" s="75"/>
      <c r="C86" s="76"/>
      <c r="D86" s="77" t="s">
        <v>34</v>
      </c>
      <c r="E86" s="8" t="s">
        <v>51</v>
      </c>
      <c r="F86" s="6">
        <v>150</v>
      </c>
      <c r="G86" s="6">
        <f>F86*3.17/150</f>
        <v>3.17</v>
      </c>
      <c r="H86" s="6">
        <f>F86*4.8/200</f>
        <v>3.6</v>
      </c>
      <c r="I86" s="6">
        <f>F86*20.4/150</f>
        <v>20.399999999999999</v>
      </c>
      <c r="J86" s="6">
        <f>F86*170.67/200</f>
        <v>128.00249999999997</v>
      </c>
      <c r="K86" s="46" t="s">
        <v>91</v>
      </c>
      <c r="L86" s="40">
        <v>23.13</v>
      </c>
      <c r="M86" s="78"/>
    </row>
    <row r="87" spans="1:13">
      <c r="A87" s="74"/>
      <c r="B87" s="75"/>
      <c r="C87" s="76"/>
      <c r="D87" s="77" t="s">
        <v>72</v>
      </c>
      <c r="E87" s="3" t="s">
        <v>53</v>
      </c>
      <c r="F87" s="5">
        <v>200</v>
      </c>
      <c r="G87" s="5">
        <v>0.2</v>
      </c>
      <c r="H87" s="5">
        <v>0.1</v>
      </c>
      <c r="I87" s="5">
        <v>13.1</v>
      </c>
      <c r="J87" s="5">
        <v>54</v>
      </c>
      <c r="K87" s="46" t="s">
        <v>149</v>
      </c>
      <c r="L87" s="40">
        <v>8.7799999999999994</v>
      </c>
      <c r="M87" s="78"/>
    </row>
    <row r="88" spans="1:13" ht="31.5">
      <c r="A88" s="74"/>
      <c r="B88" s="75"/>
      <c r="C88" s="76"/>
      <c r="D88" s="77" t="s">
        <v>37</v>
      </c>
      <c r="E88" s="7" t="s">
        <v>38</v>
      </c>
      <c r="F88" s="6">
        <v>50</v>
      </c>
      <c r="G88" s="6">
        <f>SUM(F88*3.95/50)</f>
        <v>3.95</v>
      </c>
      <c r="H88" s="6">
        <f>SUM(F88*0.5/50)</f>
        <v>0.5</v>
      </c>
      <c r="I88" s="6">
        <f>SUM(F88*24.15/50)</f>
        <v>24.15</v>
      </c>
      <c r="J88" s="6">
        <f>SUM(F88*116.9/50)</f>
        <v>116.9</v>
      </c>
      <c r="K88" s="46" t="s">
        <v>27</v>
      </c>
      <c r="L88" s="40">
        <v>5.24</v>
      </c>
      <c r="M88" s="78"/>
    </row>
    <row r="89" spans="1:13">
      <c r="A89" s="74"/>
      <c r="B89" s="75"/>
      <c r="C89" s="76"/>
      <c r="D89" s="77" t="s">
        <v>39</v>
      </c>
      <c r="E89" s="3" t="s">
        <v>101</v>
      </c>
      <c r="F89" s="6">
        <v>30</v>
      </c>
      <c r="G89" s="6">
        <f>SUM(F89*1.68/30)</f>
        <v>1.68</v>
      </c>
      <c r="H89" s="6">
        <f>SUM(F89*0.33/30)</f>
        <v>0.33</v>
      </c>
      <c r="I89" s="6">
        <f>SUM(F89*14.82/30)</f>
        <v>14.82</v>
      </c>
      <c r="J89" s="6">
        <f>SUM(F89*68.97/30)</f>
        <v>68.97</v>
      </c>
      <c r="K89" s="46" t="s">
        <v>27</v>
      </c>
      <c r="L89" s="40">
        <v>3.27</v>
      </c>
      <c r="M89" s="78"/>
    </row>
    <row r="90" spans="1:13">
      <c r="A90" s="74"/>
      <c r="B90" s="75"/>
      <c r="C90" s="76"/>
      <c r="D90" s="79"/>
      <c r="E90" s="79"/>
      <c r="F90" s="23"/>
      <c r="G90" s="23"/>
      <c r="H90" s="23"/>
      <c r="I90" s="23"/>
      <c r="J90" s="23"/>
      <c r="K90" s="46"/>
      <c r="L90" s="40"/>
      <c r="M90" s="78"/>
    </row>
    <row r="91" spans="1:13">
      <c r="A91" s="74"/>
      <c r="B91" s="75"/>
      <c r="C91" s="76"/>
      <c r="D91" s="79"/>
      <c r="E91" s="79"/>
      <c r="F91" s="23"/>
      <c r="G91" s="23"/>
      <c r="H91" s="23"/>
      <c r="I91" s="23"/>
      <c r="J91" s="23"/>
      <c r="K91" s="46"/>
      <c r="L91" s="40"/>
      <c r="M91" s="78"/>
    </row>
    <row r="92" spans="1:13">
      <c r="A92" s="81"/>
      <c r="B92" s="82"/>
      <c r="C92" s="83"/>
      <c r="D92" s="84" t="s">
        <v>29</v>
      </c>
      <c r="E92" s="85"/>
      <c r="F92" s="86">
        <f>SUM(F83:F91)</f>
        <v>780</v>
      </c>
      <c r="G92" s="86">
        <f>SUM(G83:G91)</f>
        <v>25.327999999999996</v>
      </c>
      <c r="H92" s="86">
        <f t="shared" ref="H92:J92" si="6">SUM(H83:H91)</f>
        <v>27.263999999999999</v>
      </c>
      <c r="I92" s="86">
        <f t="shared" si="6"/>
        <v>94.669999999999987</v>
      </c>
      <c r="J92" s="86">
        <f t="shared" si="6"/>
        <v>727.16049999999996</v>
      </c>
      <c r="K92" s="47"/>
      <c r="L92" s="28">
        <f>SUM(L83:L91)</f>
        <v>145.05000000000001</v>
      </c>
      <c r="M92" s="78"/>
    </row>
    <row r="93" spans="1:13">
      <c r="A93" s="81">
        <f>A77</f>
        <v>1</v>
      </c>
      <c r="B93" s="82">
        <f>B77</f>
        <v>5</v>
      </c>
      <c r="C93" s="111" t="s">
        <v>40</v>
      </c>
      <c r="D93" s="112"/>
      <c r="E93" s="85"/>
      <c r="F93" s="86">
        <f>F82+F92</f>
        <v>1308</v>
      </c>
      <c r="G93" s="86">
        <f t="shared" ref="G93:L93" si="7">G82+G92</f>
        <v>53.613500000000002</v>
      </c>
      <c r="H93" s="86">
        <f t="shared" si="7"/>
        <v>60.826999999999998</v>
      </c>
      <c r="I93" s="86">
        <f t="shared" si="7"/>
        <v>169.02449999999999</v>
      </c>
      <c r="J93" s="86">
        <f t="shared" si="7"/>
        <v>1439.0674999999999</v>
      </c>
      <c r="K93" s="47"/>
      <c r="L93" s="28">
        <f t="shared" si="7"/>
        <v>270.09000000000003</v>
      </c>
      <c r="M93" s="78"/>
    </row>
    <row r="94" spans="1:13" ht="31.5">
      <c r="A94" s="74">
        <v>2</v>
      </c>
      <c r="B94" s="75">
        <v>1</v>
      </c>
      <c r="C94" s="76" t="s">
        <v>22</v>
      </c>
      <c r="D94" s="77" t="s">
        <v>23</v>
      </c>
      <c r="E94" s="3" t="s">
        <v>84</v>
      </c>
      <c r="F94" s="5">
        <v>200</v>
      </c>
      <c r="G94" s="5">
        <f>F94*5.5/200</f>
        <v>5.5</v>
      </c>
      <c r="H94" s="5">
        <f>F94*9.9/200</f>
        <v>9.9</v>
      </c>
      <c r="I94" s="5">
        <f>F94*39.26/200</f>
        <v>39.26</v>
      </c>
      <c r="J94" s="5">
        <f>F94*268.14/200</f>
        <v>268.14</v>
      </c>
      <c r="K94" s="46">
        <v>44443</v>
      </c>
      <c r="L94" s="40">
        <v>33.979999999999997</v>
      </c>
      <c r="M94" s="78"/>
    </row>
    <row r="95" spans="1:13">
      <c r="A95" s="74"/>
      <c r="B95" s="75"/>
      <c r="C95" s="76"/>
      <c r="D95" s="79" t="s">
        <v>147</v>
      </c>
      <c r="E95" s="3" t="s">
        <v>65</v>
      </c>
      <c r="F95" s="6">
        <v>100</v>
      </c>
      <c r="G95" s="6">
        <f>F95*0.4/100</f>
        <v>0.4</v>
      </c>
      <c r="H95" s="6">
        <f>F95*0.4/100</f>
        <v>0.4</v>
      </c>
      <c r="I95" s="6">
        <f>F95*10.95/100</f>
        <v>10.95</v>
      </c>
      <c r="J95" s="6">
        <f>F95*49/100</f>
        <v>49</v>
      </c>
      <c r="K95" s="46" t="s">
        <v>27</v>
      </c>
      <c r="L95" s="40">
        <v>30.43</v>
      </c>
      <c r="M95" s="78"/>
    </row>
    <row r="96" spans="1:13">
      <c r="A96" s="74"/>
      <c r="B96" s="75"/>
      <c r="C96" s="76"/>
      <c r="D96" s="77" t="s">
        <v>24</v>
      </c>
      <c r="E96" s="3" t="s">
        <v>25</v>
      </c>
      <c r="F96" s="5">
        <v>200</v>
      </c>
      <c r="G96" s="5">
        <v>3.1</v>
      </c>
      <c r="H96" s="5">
        <v>3.2</v>
      </c>
      <c r="I96" s="5">
        <v>14.4</v>
      </c>
      <c r="J96" s="5">
        <v>99</v>
      </c>
      <c r="K96" s="46" t="s">
        <v>126</v>
      </c>
      <c r="L96" s="40">
        <v>22.91</v>
      </c>
      <c r="M96" s="78"/>
    </row>
    <row r="97" spans="1:13">
      <c r="A97" s="74"/>
      <c r="B97" s="75"/>
      <c r="C97" s="76"/>
      <c r="D97" s="79" t="s">
        <v>37</v>
      </c>
      <c r="E97" s="3" t="s">
        <v>28</v>
      </c>
      <c r="F97" s="4">
        <v>50</v>
      </c>
      <c r="G97" s="4">
        <f>F97*6.1/50</f>
        <v>6.1</v>
      </c>
      <c r="H97" s="4">
        <f>F97*3.7/50</f>
        <v>3.7</v>
      </c>
      <c r="I97" s="4">
        <f>F97*17.5/50</f>
        <v>17.5</v>
      </c>
      <c r="J97" s="4">
        <f>F97*127.7/50</f>
        <v>127.7</v>
      </c>
      <c r="K97" s="50">
        <v>44240</v>
      </c>
      <c r="L97" s="40">
        <v>34.44</v>
      </c>
      <c r="M97" s="78"/>
    </row>
    <row r="98" spans="1:13">
      <c r="A98" s="74"/>
      <c r="B98" s="75"/>
      <c r="C98" s="76"/>
      <c r="D98" s="77" t="s">
        <v>39</v>
      </c>
      <c r="E98" s="3" t="s">
        <v>101</v>
      </c>
      <c r="F98" s="6">
        <v>30</v>
      </c>
      <c r="G98" s="6">
        <f>SUM(F98*1.68/30)</f>
        <v>1.68</v>
      </c>
      <c r="H98" s="6">
        <f>SUM(F98*0.33/30)</f>
        <v>0.33</v>
      </c>
      <c r="I98" s="6">
        <f>SUM(F98*14.82/30)</f>
        <v>14.82</v>
      </c>
      <c r="J98" s="6">
        <f>SUM(F98*68.97/30)</f>
        <v>68.97</v>
      </c>
      <c r="K98" s="46" t="s">
        <v>27</v>
      </c>
      <c r="L98" s="40">
        <v>3.28</v>
      </c>
      <c r="M98" s="78"/>
    </row>
    <row r="99" spans="1:13">
      <c r="A99" s="74"/>
      <c r="B99" s="75"/>
      <c r="C99" s="76"/>
      <c r="D99" s="79"/>
      <c r="E99" s="79"/>
      <c r="F99" s="23"/>
      <c r="G99" s="23"/>
      <c r="H99" s="23"/>
      <c r="I99" s="23"/>
      <c r="J99" s="23"/>
      <c r="K99" s="46"/>
      <c r="L99" s="40"/>
      <c r="M99" s="78"/>
    </row>
    <row r="100" spans="1:13">
      <c r="A100" s="81"/>
      <c r="B100" s="82"/>
      <c r="C100" s="83"/>
      <c r="D100" s="84" t="s">
        <v>29</v>
      </c>
      <c r="E100" s="85"/>
      <c r="F100" s="86">
        <f t="shared" ref="F100:J100" si="8">SUM(F94:F99)</f>
        <v>580</v>
      </c>
      <c r="G100" s="86">
        <f t="shared" si="8"/>
        <v>16.78</v>
      </c>
      <c r="H100" s="86">
        <f t="shared" si="8"/>
        <v>17.529999999999998</v>
      </c>
      <c r="I100" s="86">
        <f t="shared" si="8"/>
        <v>96.93</v>
      </c>
      <c r="J100" s="86">
        <f t="shared" si="8"/>
        <v>612.81000000000006</v>
      </c>
      <c r="K100" s="47"/>
      <c r="L100" s="28">
        <f>SUM(L94:L99)</f>
        <v>125.03999999999999</v>
      </c>
      <c r="M100" s="78"/>
    </row>
    <row r="101" spans="1:13" ht="31.5">
      <c r="A101" s="74">
        <f>A94</f>
        <v>2</v>
      </c>
      <c r="B101" s="75">
        <f>B94</f>
        <v>1</v>
      </c>
      <c r="C101" s="76" t="s">
        <v>30</v>
      </c>
      <c r="D101" s="77" t="s">
        <v>31</v>
      </c>
      <c r="E101" s="9" t="s">
        <v>160</v>
      </c>
      <c r="F101" s="6">
        <v>60</v>
      </c>
      <c r="G101" s="6">
        <f>F101*1.5/60</f>
        <v>1.5</v>
      </c>
      <c r="H101" s="6">
        <f>F101*6/60</f>
        <v>6</v>
      </c>
      <c r="I101" s="6">
        <f>F101*4.25/60</f>
        <v>4.25</v>
      </c>
      <c r="J101" s="6">
        <f>F101*76.8/60</f>
        <v>76.8</v>
      </c>
      <c r="K101" s="50">
        <v>44409</v>
      </c>
      <c r="L101" s="41">
        <v>16.079999999999998</v>
      </c>
      <c r="M101" s="78"/>
    </row>
    <row r="102" spans="1:13" ht="31.5">
      <c r="A102" s="74"/>
      <c r="B102" s="75"/>
      <c r="C102" s="76"/>
      <c r="D102" s="77" t="s">
        <v>32</v>
      </c>
      <c r="E102" s="9" t="s">
        <v>134</v>
      </c>
      <c r="F102" s="6">
        <v>200</v>
      </c>
      <c r="G102" s="6">
        <f>F102*4.46/200</f>
        <v>4.46</v>
      </c>
      <c r="H102" s="6">
        <f>F102*4.66/200</f>
        <v>4.66</v>
      </c>
      <c r="I102" s="6">
        <f>F102*18.04/200</f>
        <v>18.04</v>
      </c>
      <c r="J102" s="6">
        <f>F102*132/200</f>
        <v>132</v>
      </c>
      <c r="K102" s="50" t="s">
        <v>68</v>
      </c>
      <c r="L102" s="41">
        <v>34.44</v>
      </c>
      <c r="M102" s="78"/>
    </row>
    <row r="103" spans="1:13">
      <c r="A103" s="74"/>
      <c r="B103" s="75"/>
      <c r="C103" s="76"/>
      <c r="D103" s="77" t="s">
        <v>37</v>
      </c>
      <c r="E103" s="7" t="s">
        <v>64</v>
      </c>
      <c r="F103" s="6">
        <v>20</v>
      </c>
      <c r="G103" s="6">
        <f>F103*1.71/20</f>
        <v>1.7100000000000002</v>
      </c>
      <c r="H103" s="6">
        <f>F103*0.17/20</f>
        <v>0.17</v>
      </c>
      <c r="I103" s="6">
        <f>F103*10.75/20</f>
        <v>10.75</v>
      </c>
      <c r="J103" s="6">
        <f>F103*51.4/20</f>
        <v>51.4</v>
      </c>
      <c r="K103" s="50" t="s">
        <v>69</v>
      </c>
      <c r="L103" s="41">
        <v>2.5499999999999998</v>
      </c>
      <c r="M103" s="78"/>
    </row>
    <row r="104" spans="1:13">
      <c r="A104" s="74"/>
      <c r="B104" s="75"/>
      <c r="C104" s="76"/>
      <c r="D104" s="77" t="s">
        <v>33</v>
      </c>
      <c r="E104" s="7" t="s">
        <v>42</v>
      </c>
      <c r="F104" s="6">
        <v>95</v>
      </c>
      <c r="G104" s="6">
        <f>F104*13.32/90</f>
        <v>14.06</v>
      </c>
      <c r="H104" s="6">
        <f>F104*11.16/90</f>
        <v>11.780000000000001</v>
      </c>
      <c r="I104" s="6">
        <f>F104*8.19/90</f>
        <v>8.6449999999999996</v>
      </c>
      <c r="J104" s="6">
        <f>F104*186.3/90</f>
        <v>196.65</v>
      </c>
      <c r="K104" s="46">
        <v>44325</v>
      </c>
      <c r="L104" s="41">
        <v>65.290000000000006</v>
      </c>
      <c r="M104" s="78"/>
    </row>
    <row r="105" spans="1:13">
      <c r="A105" s="74"/>
      <c r="B105" s="75"/>
      <c r="C105" s="76"/>
      <c r="D105" s="77" t="s">
        <v>34</v>
      </c>
      <c r="E105" s="9" t="s">
        <v>46</v>
      </c>
      <c r="F105" s="6">
        <v>150</v>
      </c>
      <c r="G105" s="6">
        <f>F105*6.63/150</f>
        <v>6.63</v>
      </c>
      <c r="H105" s="6">
        <f>F105*4.44/150</f>
        <v>4.4400000000000004</v>
      </c>
      <c r="I105" s="6">
        <f>F105*28.8/150</f>
        <v>28.8</v>
      </c>
      <c r="J105" s="6">
        <f>F105*181.5/150</f>
        <v>181.5</v>
      </c>
      <c r="K105" s="50" t="s">
        <v>127</v>
      </c>
      <c r="L105" s="41">
        <v>10.11</v>
      </c>
      <c r="M105" s="78"/>
    </row>
    <row r="106" spans="1:13">
      <c r="A106" s="74"/>
      <c r="B106" s="75"/>
      <c r="C106" s="76"/>
      <c r="D106" s="77" t="s">
        <v>72</v>
      </c>
      <c r="E106" s="8" t="s">
        <v>85</v>
      </c>
      <c r="F106" s="5">
        <v>200</v>
      </c>
      <c r="G106" s="5">
        <v>1</v>
      </c>
      <c r="H106" s="5">
        <v>0</v>
      </c>
      <c r="I106" s="5">
        <v>27.4</v>
      </c>
      <c r="J106" s="5">
        <v>114</v>
      </c>
      <c r="K106" s="50" t="s">
        <v>86</v>
      </c>
      <c r="L106" s="41">
        <v>12.54</v>
      </c>
      <c r="M106" s="78"/>
    </row>
    <row r="107" spans="1:13">
      <c r="A107" s="74"/>
      <c r="B107" s="75"/>
      <c r="C107" s="76"/>
      <c r="D107" s="77" t="s">
        <v>39</v>
      </c>
      <c r="E107" s="7" t="s">
        <v>101</v>
      </c>
      <c r="F107" s="6">
        <v>37</v>
      </c>
      <c r="G107" s="6">
        <f>SUM(F107*1.68/30)</f>
        <v>2.0720000000000001</v>
      </c>
      <c r="H107" s="6">
        <f>SUM(F107*0.33/30)</f>
        <v>0.40700000000000003</v>
      </c>
      <c r="I107" s="6">
        <f>SUM(F107*14.82/30)</f>
        <v>18.278000000000002</v>
      </c>
      <c r="J107" s="6">
        <f>SUM(F107*68.97/30)</f>
        <v>85.063000000000002</v>
      </c>
      <c r="K107" s="50" t="s">
        <v>41</v>
      </c>
      <c r="L107" s="41">
        <v>4.04</v>
      </c>
      <c r="M107" s="78"/>
    </row>
    <row r="108" spans="1:13">
      <c r="A108" s="74"/>
      <c r="B108" s="75"/>
      <c r="C108" s="76"/>
      <c r="D108" s="79"/>
      <c r="E108" s="9"/>
      <c r="F108" s="6"/>
      <c r="G108" s="6"/>
      <c r="H108" s="6"/>
      <c r="I108" s="6"/>
      <c r="J108" s="6"/>
      <c r="K108" s="50"/>
      <c r="L108" s="41"/>
      <c r="M108" s="78"/>
    </row>
    <row r="109" spans="1:13">
      <c r="A109" s="81"/>
      <c r="B109" s="82"/>
      <c r="C109" s="83"/>
      <c r="D109" s="84" t="s">
        <v>29</v>
      </c>
      <c r="E109" s="85"/>
      <c r="F109" s="86">
        <f t="shared" ref="F109:J109" si="9">SUM(F101:F108)</f>
        <v>762</v>
      </c>
      <c r="G109" s="86">
        <f t="shared" si="9"/>
        <v>31.431999999999999</v>
      </c>
      <c r="H109" s="86">
        <f t="shared" si="9"/>
        <v>27.457000000000001</v>
      </c>
      <c r="I109" s="86">
        <f t="shared" si="9"/>
        <v>116.163</v>
      </c>
      <c r="J109" s="86">
        <f t="shared" si="9"/>
        <v>837.41300000000001</v>
      </c>
      <c r="K109" s="47"/>
      <c r="L109" s="28">
        <f>SUM(L101:L108)</f>
        <v>145.04999999999998</v>
      </c>
      <c r="M109" s="78"/>
    </row>
    <row r="110" spans="1:13">
      <c r="A110" s="81">
        <f>A94</f>
        <v>2</v>
      </c>
      <c r="B110" s="82">
        <f>B94</f>
        <v>1</v>
      </c>
      <c r="C110" s="111" t="s">
        <v>40</v>
      </c>
      <c r="D110" s="112"/>
      <c r="E110" s="85"/>
      <c r="F110" s="86">
        <f>F100+F109</f>
        <v>1342</v>
      </c>
      <c r="G110" s="86">
        <f>G100+G109</f>
        <v>48.212000000000003</v>
      </c>
      <c r="H110" s="86">
        <f>H100+H109</f>
        <v>44.986999999999995</v>
      </c>
      <c r="I110" s="86">
        <f>I100+I109</f>
        <v>213.09300000000002</v>
      </c>
      <c r="J110" s="86">
        <f>J100+J109</f>
        <v>1450.223</v>
      </c>
      <c r="K110" s="47"/>
      <c r="L110" s="28">
        <f>L100+L109</f>
        <v>270.08999999999997</v>
      </c>
      <c r="M110" s="78"/>
    </row>
    <row r="111" spans="1:13" ht="31.5">
      <c r="A111" s="74">
        <v>2</v>
      </c>
      <c r="B111" s="75">
        <v>2</v>
      </c>
      <c r="C111" s="76" t="s">
        <v>22</v>
      </c>
      <c r="D111" s="77" t="s">
        <v>23</v>
      </c>
      <c r="E111" s="7" t="s">
        <v>73</v>
      </c>
      <c r="F111" s="6">
        <v>220</v>
      </c>
      <c r="G111" s="6">
        <f>F111*30.42/180</f>
        <v>37.18</v>
      </c>
      <c r="H111" s="6">
        <f>F111*17.28/180</f>
        <v>21.12</v>
      </c>
      <c r="I111" s="6">
        <f>F111*23.76/180</f>
        <v>29.040000000000003</v>
      </c>
      <c r="J111" s="6">
        <f>F111*372.6/180</f>
        <v>455.4</v>
      </c>
      <c r="K111" s="46">
        <v>4443</v>
      </c>
      <c r="L111" s="40">
        <v>89.96</v>
      </c>
      <c r="M111" s="78"/>
    </row>
    <row r="112" spans="1:13">
      <c r="A112" s="74"/>
      <c r="B112" s="75"/>
      <c r="C112" s="76"/>
      <c r="D112" s="77" t="s">
        <v>37</v>
      </c>
      <c r="E112" s="7" t="s">
        <v>56</v>
      </c>
      <c r="F112" s="6">
        <v>65</v>
      </c>
      <c r="G112" s="6">
        <f>F112*4.48/70</f>
        <v>4.160000000000001</v>
      </c>
      <c r="H112" s="6">
        <f>F112*10.78/70</f>
        <v>10.01</v>
      </c>
      <c r="I112" s="6">
        <f>F112*27.3/70</f>
        <v>25.35</v>
      </c>
      <c r="J112" s="6">
        <f>F112*224/70</f>
        <v>208</v>
      </c>
      <c r="K112" s="46">
        <v>44209</v>
      </c>
      <c r="L112" s="40">
        <v>25.49</v>
      </c>
      <c r="M112" s="78"/>
    </row>
    <row r="113" spans="1:13">
      <c r="A113" s="74"/>
      <c r="B113" s="75"/>
      <c r="C113" s="76"/>
      <c r="D113" s="77" t="s">
        <v>24</v>
      </c>
      <c r="E113" s="7" t="s">
        <v>55</v>
      </c>
      <c r="F113" s="12">
        <v>200</v>
      </c>
      <c r="G113" s="6">
        <v>0.2</v>
      </c>
      <c r="H113" s="6">
        <v>0</v>
      </c>
      <c r="I113" s="6">
        <v>13.7</v>
      </c>
      <c r="J113" s="6">
        <v>56</v>
      </c>
      <c r="K113" s="46" t="s">
        <v>157</v>
      </c>
      <c r="L113" s="40">
        <v>4.03</v>
      </c>
      <c r="M113" s="78"/>
    </row>
    <row r="114" spans="1:13">
      <c r="A114" s="74"/>
      <c r="B114" s="75"/>
      <c r="C114" s="76"/>
      <c r="D114" s="77" t="s">
        <v>39</v>
      </c>
      <c r="E114" s="7" t="s">
        <v>101</v>
      </c>
      <c r="F114" s="6">
        <v>51</v>
      </c>
      <c r="G114" s="6">
        <f>SUM(F114*2.8/50)</f>
        <v>2.8559999999999999</v>
      </c>
      <c r="H114" s="6">
        <f>SUM(F114*0.55/50)</f>
        <v>0.56100000000000005</v>
      </c>
      <c r="I114" s="6">
        <f>SUM(F114*24.7/50)</f>
        <v>25.194000000000003</v>
      </c>
      <c r="J114" s="6">
        <f>SUM(F114*114.95/50)</f>
        <v>117.249</v>
      </c>
      <c r="K114" s="46" t="s">
        <v>27</v>
      </c>
      <c r="L114" s="40">
        <v>5.56</v>
      </c>
      <c r="M114" s="78"/>
    </row>
    <row r="115" spans="1:13">
      <c r="A115" s="74"/>
      <c r="B115" s="75"/>
      <c r="C115" s="76"/>
      <c r="D115" s="79"/>
      <c r="E115" s="7"/>
      <c r="F115" s="6"/>
      <c r="G115" s="6"/>
      <c r="H115" s="6"/>
      <c r="I115" s="6"/>
      <c r="J115" s="6"/>
      <c r="K115" s="46"/>
      <c r="L115" s="40"/>
      <c r="M115" s="78"/>
    </row>
    <row r="116" spans="1:13">
      <c r="A116" s="74"/>
      <c r="B116" s="75"/>
      <c r="C116" s="76"/>
      <c r="D116" s="79"/>
      <c r="E116" s="79"/>
      <c r="F116" s="23"/>
      <c r="G116" s="23"/>
      <c r="H116" s="23"/>
      <c r="I116" s="23"/>
      <c r="J116" s="23"/>
      <c r="K116" s="46"/>
      <c r="L116" s="40"/>
      <c r="M116" s="78"/>
    </row>
    <row r="117" spans="1:13">
      <c r="A117" s="81"/>
      <c r="B117" s="82"/>
      <c r="C117" s="83"/>
      <c r="D117" s="84" t="s">
        <v>29</v>
      </c>
      <c r="E117" s="85"/>
      <c r="F117" s="86">
        <f>SUM(F111:F116)</f>
        <v>536</v>
      </c>
      <c r="G117" s="86">
        <f>SUM(G111:G116)</f>
        <v>44.396000000000008</v>
      </c>
      <c r="H117" s="86">
        <f>SUM(H111:H116)</f>
        <v>31.691000000000003</v>
      </c>
      <c r="I117" s="86">
        <f>SUM(I111:I116)</f>
        <v>93.284000000000006</v>
      </c>
      <c r="J117" s="86">
        <f>SUM(J111:J116)</f>
        <v>836.649</v>
      </c>
      <c r="K117" s="47"/>
      <c r="L117" s="28">
        <f>SUM(L111:L116)</f>
        <v>125.03999999999999</v>
      </c>
      <c r="M117" s="78"/>
    </row>
    <row r="118" spans="1:13">
      <c r="A118" s="74">
        <f>A111</f>
        <v>2</v>
      </c>
      <c r="B118" s="75">
        <f>B111</f>
        <v>2</v>
      </c>
      <c r="C118" s="76" t="s">
        <v>30</v>
      </c>
      <c r="D118" s="77" t="s">
        <v>31</v>
      </c>
      <c r="E118" s="9" t="s">
        <v>57</v>
      </c>
      <c r="F118" s="6">
        <v>60</v>
      </c>
      <c r="G118" s="6">
        <f>F118*1.3/100</f>
        <v>0.78</v>
      </c>
      <c r="H118" s="6">
        <f>F118*8.9/100</f>
        <v>5.34</v>
      </c>
      <c r="I118" s="6">
        <f>F118*6.7/100</f>
        <v>4.0199999999999996</v>
      </c>
      <c r="J118" s="6">
        <f>F118*112/100</f>
        <v>67.2</v>
      </c>
      <c r="K118" s="46">
        <v>72</v>
      </c>
      <c r="L118" s="40">
        <v>11.1</v>
      </c>
      <c r="M118" s="78"/>
    </row>
    <row r="119" spans="1:13" ht="31.5">
      <c r="A119" s="74"/>
      <c r="B119" s="75"/>
      <c r="C119" s="76"/>
      <c r="D119" s="77" t="s">
        <v>32</v>
      </c>
      <c r="E119" s="8" t="s">
        <v>135</v>
      </c>
      <c r="F119" s="6">
        <v>200</v>
      </c>
      <c r="G119" s="6">
        <f>F119*3.9/200</f>
        <v>3.9</v>
      </c>
      <c r="H119" s="6">
        <f>F119*6.02/200</f>
        <v>6.02</v>
      </c>
      <c r="I119" s="6">
        <f>F119*13.88/200</f>
        <v>13.88</v>
      </c>
      <c r="J119" s="6">
        <f>F119*125.6/200</f>
        <v>125.6</v>
      </c>
      <c r="K119" s="46">
        <v>44502</v>
      </c>
      <c r="L119" s="40">
        <v>34.67</v>
      </c>
      <c r="M119" s="78"/>
    </row>
    <row r="120" spans="1:13">
      <c r="A120" s="74"/>
      <c r="B120" s="75"/>
      <c r="C120" s="76"/>
      <c r="D120" s="77" t="s">
        <v>33</v>
      </c>
      <c r="E120" s="3" t="s">
        <v>136</v>
      </c>
      <c r="F120" s="4">
        <v>90</v>
      </c>
      <c r="G120" s="6">
        <f>F120*11.7/90</f>
        <v>11.7</v>
      </c>
      <c r="H120" s="6">
        <f>F120*11.61/90</f>
        <v>11.609999999999998</v>
      </c>
      <c r="I120" s="6">
        <f>F120*5.76/90</f>
        <v>5.76</v>
      </c>
      <c r="J120" s="6">
        <f>F120*174.6/90</f>
        <v>174.6</v>
      </c>
      <c r="K120" s="50" t="s">
        <v>156</v>
      </c>
      <c r="L120" s="40">
        <v>68.66</v>
      </c>
      <c r="M120" s="78"/>
    </row>
    <row r="121" spans="1:13">
      <c r="A121" s="74"/>
      <c r="B121" s="75"/>
      <c r="C121" s="76"/>
      <c r="D121" s="77" t="s">
        <v>34</v>
      </c>
      <c r="E121" s="3" t="s">
        <v>35</v>
      </c>
      <c r="F121" s="4">
        <v>150</v>
      </c>
      <c r="G121" s="6">
        <f>F121*5.33/150</f>
        <v>5.33</v>
      </c>
      <c r="H121" s="6">
        <f>F121*3/150</f>
        <v>3</v>
      </c>
      <c r="I121" s="6">
        <f>F121*32.4/150</f>
        <v>32.4</v>
      </c>
      <c r="J121" s="6">
        <f>F121*177.75/150</f>
        <v>177.75</v>
      </c>
      <c r="K121" s="50" t="s">
        <v>148</v>
      </c>
      <c r="L121" s="40">
        <v>9.91</v>
      </c>
      <c r="M121" s="78"/>
    </row>
    <row r="122" spans="1:13">
      <c r="A122" s="74"/>
      <c r="B122" s="75"/>
      <c r="C122" s="76"/>
      <c r="D122" s="77" t="s">
        <v>72</v>
      </c>
      <c r="E122" s="3" t="s">
        <v>87</v>
      </c>
      <c r="F122" s="5">
        <v>200</v>
      </c>
      <c r="G122" s="5">
        <v>0.4</v>
      </c>
      <c r="H122" s="5">
        <v>0.4</v>
      </c>
      <c r="I122" s="5">
        <v>18.7</v>
      </c>
      <c r="J122" s="5">
        <v>80</v>
      </c>
      <c r="K122" s="50" t="s">
        <v>88</v>
      </c>
      <c r="L122" s="40">
        <v>14.29</v>
      </c>
      <c r="M122" s="78"/>
    </row>
    <row r="123" spans="1:13" ht="31.5">
      <c r="A123" s="74"/>
      <c r="B123" s="75"/>
      <c r="C123" s="76"/>
      <c r="D123" s="77" t="s">
        <v>37</v>
      </c>
      <c r="E123" s="7" t="s">
        <v>38</v>
      </c>
      <c r="F123" s="6">
        <v>30</v>
      </c>
      <c r="G123" s="6">
        <f>SUM(F123*2.37/30)</f>
        <v>2.37</v>
      </c>
      <c r="H123" s="6">
        <f>SUM(F123*0.3/30)</f>
        <v>0.3</v>
      </c>
      <c r="I123" s="6">
        <f>SUM(F123*14.49/30)</f>
        <v>14.49</v>
      </c>
      <c r="J123" s="6">
        <f>SUM(F123*70.14/30)</f>
        <v>70.14</v>
      </c>
      <c r="K123" s="50" t="s">
        <v>27</v>
      </c>
      <c r="L123" s="40">
        <v>3.14</v>
      </c>
      <c r="M123" s="78"/>
    </row>
    <row r="124" spans="1:13">
      <c r="A124" s="74"/>
      <c r="B124" s="75"/>
      <c r="C124" s="76"/>
      <c r="D124" s="77" t="s">
        <v>39</v>
      </c>
      <c r="E124" s="3" t="s">
        <v>26</v>
      </c>
      <c r="F124" s="6">
        <v>30</v>
      </c>
      <c r="G124" s="6">
        <f>SUM(F124*1.68/30)</f>
        <v>1.68</v>
      </c>
      <c r="H124" s="6">
        <f>SUM(F124*0.33/30)</f>
        <v>0.33</v>
      </c>
      <c r="I124" s="6">
        <f>SUM(F124*14.82/30)</f>
        <v>14.82</v>
      </c>
      <c r="J124" s="6">
        <f>SUM(F124*68.97/30)</f>
        <v>68.97</v>
      </c>
      <c r="K124" s="50" t="s">
        <v>27</v>
      </c>
      <c r="L124" s="40">
        <v>3.28</v>
      </c>
      <c r="M124" s="78"/>
    </row>
    <row r="125" spans="1:13">
      <c r="A125" s="74"/>
      <c r="B125" s="75"/>
      <c r="C125" s="76"/>
      <c r="D125" s="79"/>
      <c r="E125" s="79"/>
      <c r="F125" s="23"/>
      <c r="G125" s="23"/>
      <c r="H125" s="23"/>
      <c r="I125" s="23"/>
      <c r="J125" s="23"/>
      <c r="K125" s="46"/>
      <c r="L125" s="40"/>
      <c r="M125" s="78"/>
    </row>
    <row r="126" spans="1:13">
      <c r="A126" s="74"/>
      <c r="B126" s="75"/>
      <c r="C126" s="76"/>
      <c r="D126" s="79"/>
      <c r="E126" s="79"/>
      <c r="F126" s="23"/>
      <c r="G126" s="23"/>
      <c r="H126" s="23"/>
      <c r="I126" s="23"/>
      <c r="J126" s="23"/>
      <c r="K126" s="46"/>
      <c r="L126" s="40"/>
      <c r="M126" s="78"/>
    </row>
    <row r="127" spans="1:13">
      <c r="A127" s="81"/>
      <c r="B127" s="82"/>
      <c r="C127" s="83"/>
      <c r="D127" s="84" t="s">
        <v>29</v>
      </c>
      <c r="E127" s="85"/>
      <c r="F127" s="86">
        <f>SUM(F118:F126)</f>
        <v>760</v>
      </c>
      <c r="G127" s="86">
        <f>SUM(G118:G126)</f>
        <v>26.16</v>
      </c>
      <c r="H127" s="86">
        <f t="shared" ref="H127:J127" si="10">SUM(H118:H126)</f>
        <v>26.999999999999996</v>
      </c>
      <c r="I127" s="86">
        <f t="shared" si="10"/>
        <v>104.07</v>
      </c>
      <c r="J127" s="86">
        <f t="shared" si="10"/>
        <v>764.26</v>
      </c>
      <c r="K127" s="47"/>
      <c r="L127" s="28">
        <f>SUM(L118:L126)</f>
        <v>145.04999999999998</v>
      </c>
      <c r="M127" s="78"/>
    </row>
    <row r="128" spans="1:13">
      <c r="A128" s="81">
        <f>A111</f>
        <v>2</v>
      </c>
      <c r="B128" s="82">
        <f>B111</f>
        <v>2</v>
      </c>
      <c r="C128" s="111" t="s">
        <v>40</v>
      </c>
      <c r="D128" s="112"/>
      <c r="E128" s="85"/>
      <c r="F128" s="86">
        <f>F117+F127</f>
        <v>1296</v>
      </c>
      <c r="G128" s="86">
        <f>G117+G127-0.01</f>
        <v>70.546000000000006</v>
      </c>
      <c r="H128" s="86">
        <f t="shared" ref="H128:L128" si="11">H117+H127</f>
        <v>58.691000000000003</v>
      </c>
      <c r="I128" s="86">
        <f t="shared" si="11"/>
        <v>197.35399999999998</v>
      </c>
      <c r="J128" s="86">
        <f t="shared" si="11"/>
        <v>1600.9090000000001</v>
      </c>
      <c r="K128" s="47"/>
      <c r="L128" s="28">
        <f t="shared" si="11"/>
        <v>270.08999999999997</v>
      </c>
      <c r="M128" s="78"/>
    </row>
    <row r="129" spans="1:13" ht="31.5">
      <c r="A129" s="74">
        <v>2</v>
      </c>
      <c r="B129" s="75">
        <v>3</v>
      </c>
      <c r="C129" s="76" t="s">
        <v>22</v>
      </c>
      <c r="D129" s="77" t="s">
        <v>23</v>
      </c>
      <c r="E129" s="29" t="s">
        <v>113</v>
      </c>
      <c r="F129" s="31">
        <v>250</v>
      </c>
      <c r="G129" s="31">
        <f>F129*6/200</f>
        <v>7.5</v>
      </c>
      <c r="H129" s="31">
        <f>F129*9.79/220</f>
        <v>11.125</v>
      </c>
      <c r="I129" s="31">
        <f>F129*30.8/200</f>
        <v>38.5</v>
      </c>
      <c r="J129" s="31">
        <f>F129*250.03/220</f>
        <v>284.125</v>
      </c>
      <c r="K129" s="50" t="s">
        <v>128</v>
      </c>
      <c r="L129" s="40">
        <v>30.37</v>
      </c>
      <c r="M129" s="78"/>
    </row>
    <row r="130" spans="1:13">
      <c r="A130" s="74"/>
      <c r="B130" s="75"/>
      <c r="C130" s="76"/>
      <c r="D130" s="79" t="s">
        <v>24</v>
      </c>
      <c r="E130" s="32" t="s">
        <v>103</v>
      </c>
      <c r="F130" s="31">
        <v>200</v>
      </c>
      <c r="G130" s="31">
        <f>F130*3.6/200</f>
        <v>3.6</v>
      </c>
      <c r="H130" s="31">
        <f>F130*3.3/200</f>
        <v>3.3</v>
      </c>
      <c r="I130" s="31">
        <f>F130*22.8/200</f>
        <v>22.8</v>
      </c>
      <c r="J130" s="31">
        <f>F130*135/200</f>
        <v>135</v>
      </c>
      <c r="K130" s="46" t="s">
        <v>117</v>
      </c>
      <c r="L130" s="40">
        <v>23.46</v>
      </c>
      <c r="M130" s="78"/>
    </row>
    <row r="131" spans="1:13">
      <c r="A131" s="74"/>
      <c r="B131" s="75"/>
      <c r="C131" s="76"/>
      <c r="D131" s="77" t="s">
        <v>37</v>
      </c>
      <c r="E131" s="32" t="s">
        <v>28</v>
      </c>
      <c r="F131" s="31">
        <v>60</v>
      </c>
      <c r="G131" s="31">
        <f>7.32*F131/60</f>
        <v>7.3200000000000012</v>
      </c>
      <c r="H131" s="31">
        <f>4.44*F131/60</f>
        <v>4.4400000000000004</v>
      </c>
      <c r="I131" s="31">
        <f>21*F131/60</f>
        <v>21</v>
      </c>
      <c r="J131" s="31">
        <f>153.24*F131/60</f>
        <v>153.24000000000004</v>
      </c>
      <c r="K131" s="46" t="s">
        <v>74</v>
      </c>
      <c r="L131" s="40">
        <v>35.5</v>
      </c>
      <c r="M131" s="78"/>
    </row>
    <row r="132" spans="1:13">
      <c r="A132" s="74"/>
      <c r="B132" s="75"/>
      <c r="C132" s="76"/>
      <c r="D132" s="77" t="s">
        <v>39</v>
      </c>
      <c r="E132" s="32" t="s">
        <v>101</v>
      </c>
      <c r="F132" s="31">
        <v>33</v>
      </c>
      <c r="G132" s="20">
        <f>F132*1.68/30</f>
        <v>1.8479999999999999</v>
      </c>
      <c r="H132" s="20">
        <f>F132*0.33/30</f>
        <v>0.36300000000000004</v>
      </c>
      <c r="I132" s="20">
        <f>F132*14.82/30</f>
        <v>16.302</v>
      </c>
      <c r="J132" s="20">
        <f>F132*68.97/30</f>
        <v>75.86699999999999</v>
      </c>
      <c r="K132" s="50" t="s">
        <v>27</v>
      </c>
      <c r="L132" s="40">
        <v>3.6</v>
      </c>
      <c r="M132" s="78"/>
    </row>
    <row r="133" spans="1:13" ht="31.5">
      <c r="A133" s="74"/>
      <c r="B133" s="75"/>
      <c r="C133" s="76"/>
      <c r="D133" s="77"/>
      <c r="E133" s="32" t="s">
        <v>145</v>
      </c>
      <c r="F133" s="31">
        <v>40</v>
      </c>
      <c r="G133" s="31">
        <f>F133*3/100</f>
        <v>1.2</v>
      </c>
      <c r="H133" s="31">
        <f>F133*4.1/100</f>
        <v>1.64</v>
      </c>
      <c r="I133" s="31">
        <f>F133*6.4/100</f>
        <v>2.56</v>
      </c>
      <c r="J133" s="31">
        <f>F133*75/100</f>
        <v>30</v>
      </c>
      <c r="K133" s="50" t="s">
        <v>121</v>
      </c>
      <c r="L133" s="40">
        <v>32.11</v>
      </c>
      <c r="M133" s="78"/>
    </row>
    <row r="134" spans="1:13">
      <c r="A134" s="74"/>
      <c r="B134" s="75"/>
      <c r="C134" s="76"/>
      <c r="D134" s="79"/>
      <c r="E134" s="79"/>
      <c r="F134" s="23"/>
      <c r="G134" s="23"/>
      <c r="H134" s="23"/>
      <c r="I134" s="23"/>
      <c r="J134" s="23"/>
      <c r="K134" s="46"/>
      <c r="L134" s="40"/>
      <c r="M134" s="78"/>
    </row>
    <row r="135" spans="1:13">
      <c r="A135" s="81"/>
      <c r="B135" s="82"/>
      <c r="C135" s="83"/>
      <c r="D135" s="84" t="s">
        <v>29</v>
      </c>
      <c r="E135" s="85"/>
      <c r="F135" s="86">
        <f>SUM(F129:F134)</f>
        <v>583</v>
      </c>
      <c r="G135" s="86">
        <f>SUM(G129:G134)</f>
        <v>21.468</v>
      </c>
      <c r="H135" s="86">
        <f>SUM(H129:H134)</f>
        <v>20.868000000000002</v>
      </c>
      <c r="I135" s="86">
        <f>SUM(I129:I134)</f>
        <v>101.16200000000001</v>
      </c>
      <c r="J135" s="86">
        <f>SUM(J129:J134)</f>
        <v>678.23199999999997</v>
      </c>
      <c r="K135" s="47"/>
      <c r="L135" s="28">
        <f>SUM(L129:L134)</f>
        <v>125.03999999999999</v>
      </c>
      <c r="M135" s="78"/>
    </row>
    <row r="136" spans="1:13">
      <c r="A136" s="74">
        <f>A129</f>
        <v>2</v>
      </c>
      <c r="B136" s="75">
        <f>B129</f>
        <v>3</v>
      </c>
      <c r="C136" s="76" t="s">
        <v>30</v>
      </c>
      <c r="D136" s="77" t="s">
        <v>31</v>
      </c>
      <c r="E136" s="3" t="s">
        <v>89</v>
      </c>
      <c r="F136" s="5">
        <v>60</v>
      </c>
      <c r="G136" s="5">
        <f>F136*3.06/60</f>
        <v>3.06</v>
      </c>
      <c r="H136" s="5">
        <f>F136*9.36/60</f>
        <v>9.3599999999999977</v>
      </c>
      <c r="I136" s="5">
        <f>F136*8.1/60</f>
        <v>8.1</v>
      </c>
      <c r="J136" s="5">
        <f>F136*128.76/60</f>
        <v>128.76</v>
      </c>
      <c r="K136" s="46" t="s">
        <v>90</v>
      </c>
      <c r="L136" s="40">
        <v>7.95</v>
      </c>
      <c r="M136" s="78"/>
    </row>
    <row r="137" spans="1:13" ht="31.5">
      <c r="A137" s="74"/>
      <c r="B137" s="75"/>
      <c r="C137" s="76"/>
      <c r="D137" s="77" t="s">
        <v>32</v>
      </c>
      <c r="E137" s="8" t="s">
        <v>137</v>
      </c>
      <c r="F137" s="5">
        <v>200</v>
      </c>
      <c r="G137" s="5">
        <f>F137*3.42/200</f>
        <v>3.42</v>
      </c>
      <c r="H137" s="5">
        <f>F137*4.98/200</f>
        <v>4.9800000000000004</v>
      </c>
      <c r="I137" s="5">
        <f>F137*7/200</f>
        <v>7</v>
      </c>
      <c r="J137" s="5">
        <f>F137*87.2/200</f>
        <v>87.2</v>
      </c>
      <c r="K137" s="50">
        <v>44379</v>
      </c>
      <c r="L137" s="40">
        <v>27.75</v>
      </c>
      <c r="M137" s="78"/>
    </row>
    <row r="138" spans="1:13">
      <c r="A138" s="74"/>
      <c r="B138" s="75"/>
      <c r="C138" s="76"/>
      <c r="D138" s="77" t="s">
        <v>33</v>
      </c>
      <c r="E138" s="8" t="s">
        <v>58</v>
      </c>
      <c r="F138" s="5">
        <v>100</v>
      </c>
      <c r="G138" s="5">
        <f>F138*10.07/100</f>
        <v>10.07</v>
      </c>
      <c r="H138" s="5">
        <f>F138*7.08/100</f>
        <v>7.08</v>
      </c>
      <c r="I138" s="5">
        <f>F138*9.05/100</f>
        <v>9.0500000000000007</v>
      </c>
      <c r="J138" s="5">
        <f>F138*140.77/100</f>
        <v>140.77000000000001</v>
      </c>
      <c r="K138" s="50" t="s">
        <v>159</v>
      </c>
      <c r="L138" s="40">
        <v>73.91</v>
      </c>
      <c r="M138" s="78"/>
    </row>
    <row r="139" spans="1:13">
      <c r="A139" s="74"/>
      <c r="B139" s="75"/>
      <c r="C139" s="76"/>
      <c r="D139" s="77" t="s">
        <v>34</v>
      </c>
      <c r="E139" s="8" t="s">
        <v>51</v>
      </c>
      <c r="F139" s="6">
        <v>150</v>
      </c>
      <c r="G139" s="6">
        <f>F139*3.17/150</f>
        <v>3.17</v>
      </c>
      <c r="H139" s="6">
        <f>F139*3.6/150</f>
        <v>3.6</v>
      </c>
      <c r="I139" s="6">
        <f>F139*20.4/150</f>
        <v>20.399999999999999</v>
      </c>
      <c r="J139" s="6">
        <f>F139*128/150</f>
        <v>128</v>
      </c>
      <c r="K139" s="46" t="s">
        <v>91</v>
      </c>
      <c r="L139" s="40">
        <v>23.13</v>
      </c>
      <c r="M139" s="78"/>
    </row>
    <row r="140" spans="1:13">
      <c r="A140" s="74"/>
      <c r="B140" s="75"/>
      <c r="C140" s="76"/>
      <c r="D140" s="77" t="s">
        <v>72</v>
      </c>
      <c r="E140" s="8" t="s">
        <v>138</v>
      </c>
      <c r="F140" s="5">
        <v>200</v>
      </c>
      <c r="G140" s="5">
        <v>0</v>
      </c>
      <c r="H140" s="5">
        <v>0</v>
      </c>
      <c r="I140" s="5">
        <v>27.8</v>
      </c>
      <c r="J140" s="5">
        <v>111</v>
      </c>
      <c r="K140" s="46" t="s">
        <v>92</v>
      </c>
      <c r="L140" s="40">
        <v>5.54</v>
      </c>
      <c r="M140" s="78"/>
    </row>
    <row r="141" spans="1:13" ht="31.5">
      <c r="A141" s="74"/>
      <c r="B141" s="75"/>
      <c r="C141" s="76"/>
      <c r="D141" s="77" t="s">
        <v>37</v>
      </c>
      <c r="E141" s="7" t="s">
        <v>38</v>
      </c>
      <c r="F141" s="6">
        <v>30</v>
      </c>
      <c r="G141" s="6">
        <f>SUM(F141*2.37/30)</f>
        <v>2.37</v>
      </c>
      <c r="H141" s="6">
        <f>SUM(F141*0.3/30)</f>
        <v>0.3</v>
      </c>
      <c r="I141" s="6">
        <f>SUM(F141*14.49/30)</f>
        <v>14.49</v>
      </c>
      <c r="J141" s="6">
        <f>SUM(F141*70.14/30)</f>
        <v>70.14</v>
      </c>
      <c r="K141" s="50" t="s">
        <v>27</v>
      </c>
      <c r="L141" s="40">
        <v>3.14</v>
      </c>
      <c r="M141" s="78"/>
    </row>
    <row r="142" spans="1:13">
      <c r="A142" s="74"/>
      <c r="B142" s="75"/>
      <c r="C142" s="76"/>
      <c r="D142" s="77" t="s">
        <v>39</v>
      </c>
      <c r="E142" s="3" t="s">
        <v>101</v>
      </c>
      <c r="F142" s="6">
        <v>33</v>
      </c>
      <c r="G142" s="6">
        <f>SUM(F142*1.68/30)</f>
        <v>1.8479999999999999</v>
      </c>
      <c r="H142" s="6">
        <f>SUM(F142*0.33/30)</f>
        <v>0.36300000000000004</v>
      </c>
      <c r="I142" s="6">
        <f>SUM(F142*14.82/30)</f>
        <v>16.302</v>
      </c>
      <c r="J142" s="6">
        <f>SUM(F142*68.97/30)</f>
        <v>75.86699999999999</v>
      </c>
      <c r="K142" s="50" t="s">
        <v>41</v>
      </c>
      <c r="L142" s="40">
        <v>3.63</v>
      </c>
      <c r="M142" s="78"/>
    </row>
    <row r="143" spans="1:13">
      <c r="A143" s="74"/>
      <c r="B143" s="75"/>
      <c r="C143" s="76"/>
      <c r="D143" s="79"/>
      <c r="E143" s="79"/>
      <c r="F143" s="23"/>
      <c r="G143" s="23"/>
      <c r="H143" s="23"/>
      <c r="I143" s="23"/>
      <c r="J143" s="23"/>
      <c r="K143" s="46"/>
      <c r="L143" s="40"/>
      <c r="M143" s="78"/>
    </row>
    <row r="144" spans="1:13">
      <c r="A144" s="74"/>
      <c r="B144" s="75"/>
      <c r="C144" s="89"/>
      <c r="D144" s="90" t="s">
        <v>29</v>
      </c>
      <c r="E144" s="91"/>
      <c r="F144" s="92">
        <f>SUM(F136:F143)</f>
        <v>773</v>
      </c>
      <c r="G144" s="92">
        <f>SUM(G136:G143)</f>
        <v>23.937999999999999</v>
      </c>
      <c r="H144" s="92">
        <f>SUM(H136:H143)</f>
        <v>25.683</v>
      </c>
      <c r="I144" s="92">
        <f>SUM(I136:I143)+0.01</f>
        <v>103.152</v>
      </c>
      <c r="J144" s="92">
        <f>SUM(J136:J143)</f>
        <v>741.73699999999997</v>
      </c>
      <c r="K144" s="51"/>
      <c r="L144" s="42">
        <f>SUM(L136:L143)</f>
        <v>145.04999999999998</v>
      </c>
      <c r="M144" s="78"/>
    </row>
    <row r="145" spans="1:13">
      <c r="A145" s="81">
        <f>A129</f>
        <v>2</v>
      </c>
      <c r="B145" s="82">
        <f>B129</f>
        <v>3</v>
      </c>
      <c r="C145" s="114" t="s">
        <v>40</v>
      </c>
      <c r="D145" s="115"/>
      <c r="E145" s="91"/>
      <c r="F145" s="92">
        <f>F135+F144</f>
        <v>1356</v>
      </c>
      <c r="G145" s="92">
        <f>G135+G144</f>
        <v>45.405999999999999</v>
      </c>
      <c r="H145" s="92">
        <f>H135+H144</f>
        <v>46.551000000000002</v>
      </c>
      <c r="I145" s="92">
        <f>I135+I144</f>
        <v>204.31400000000002</v>
      </c>
      <c r="J145" s="92">
        <f>J135+J144</f>
        <v>1419.9690000000001</v>
      </c>
      <c r="K145" s="51"/>
      <c r="L145" s="42">
        <f>L135+L144</f>
        <v>270.08999999999997</v>
      </c>
      <c r="M145" s="78"/>
    </row>
    <row r="146" spans="1:13">
      <c r="A146" s="93">
        <v>2</v>
      </c>
      <c r="B146" s="94">
        <v>4</v>
      </c>
      <c r="C146" s="76" t="s">
        <v>22</v>
      </c>
      <c r="D146" s="77" t="s">
        <v>23</v>
      </c>
      <c r="E146" s="29" t="s">
        <v>107</v>
      </c>
      <c r="F146" s="30">
        <v>270</v>
      </c>
      <c r="G146" s="35">
        <f>F146*6.64/250</f>
        <v>7.1711999999999998</v>
      </c>
      <c r="H146" s="35">
        <f>F146*12.9/250</f>
        <v>13.932</v>
      </c>
      <c r="I146" s="35">
        <f>F146*23.86/250</f>
        <v>25.768799999999999</v>
      </c>
      <c r="J146" s="35">
        <f>F146*238.1/250</f>
        <v>257.14800000000002</v>
      </c>
      <c r="K146" s="50" t="s">
        <v>116</v>
      </c>
      <c r="L146" s="40">
        <v>53.29</v>
      </c>
      <c r="M146" s="78"/>
    </row>
    <row r="147" spans="1:13">
      <c r="A147" s="74"/>
      <c r="B147" s="75"/>
      <c r="C147" s="76"/>
      <c r="D147" s="77" t="s">
        <v>23</v>
      </c>
      <c r="E147" s="32" t="s">
        <v>108</v>
      </c>
      <c r="F147" s="30">
        <v>40</v>
      </c>
      <c r="G147" s="35">
        <v>5.0999999999999996</v>
      </c>
      <c r="H147" s="35">
        <v>4.68</v>
      </c>
      <c r="I147" s="35">
        <v>0.3</v>
      </c>
      <c r="J147" s="35">
        <v>63</v>
      </c>
      <c r="K147" s="46" t="s">
        <v>115</v>
      </c>
      <c r="L147" s="40">
        <v>17.600000000000001</v>
      </c>
      <c r="M147" s="78"/>
    </row>
    <row r="148" spans="1:13">
      <c r="A148" s="74"/>
      <c r="B148" s="75"/>
      <c r="C148" s="76"/>
      <c r="D148" s="77" t="s">
        <v>24</v>
      </c>
      <c r="E148" s="29" t="s">
        <v>110</v>
      </c>
      <c r="F148" s="30">
        <v>200</v>
      </c>
      <c r="G148" s="35">
        <v>1.5</v>
      </c>
      <c r="H148" s="35">
        <v>1.6</v>
      </c>
      <c r="I148" s="35">
        <v>12.1</v>
      </c>
      <c r="J148" s="35">
        <v>69</v>
      </c>
      <c r="K148" s="46" t="s">
        <v>122</v>
      </c>
      <c r="L148" s="40">
        <v>12.77</v>
      </c>
      <c r="M148" s="78"/>
    </row>
    <row r="149" spans="1:13" ht="31.5">
      <c r="A149" s="74"/>
      <c r="B149" s="75"/>
      <c r="C149" s="76"/>
      <c r="D149" s="77" t="s">
        <v>37</v>
      </c>
      <c r="E149" s="32" t="s">
        <v>38</v>
      </c>
      <c r="F149" s="30">
        <v>50</v>
      </c>
      <c r="G149" s="31">
        <f>F149*2.37/30</f>
        <v>3.95</v>
      </c>
      <c r="H149" s="31">
        <f>F149*0.3/30</f>
        <v>0.5</v>
      </c>
      <c r="I149" s="31">
        <f>F149*14.49/30</f>
        <v>24.15</v>
      </c>
      <c r="J149" s="31">
        <f>F149*70.14/30</f>
        <v>116.9</v>
      </c>
      <c r="K149" s="46" t="s">
        <v>27</v>
      </c>
      <c r="L149" s="40">
        <v>5.24</v>
      </c>
      <c r="M149" s="78"/>
    </row>
    <row r="150" spans="1:13">
      <c r="A150" s="74"/>
      <c r="B150" s="75"/>
      <c r="C150" s="76"/>
      <c r="D150" s="77" t="s">
        <v>39</v>
      </c>
      <c r="E150" s="32" t="s">
        <v>101</v>
      </c>
      <c r="F150" s="31">
        <v>30</v>
      </c>
      <c r="G150" s="20">
        <f>F150*1.68/30</f>
        <v>1.68</v>
      </c>
      <c r="H150" s="20">
        <f>F150*0.33/30</f>
        <v>0.33</v>
      </c>
      <c r="I150" s="20">
        <f>F150*14.82/30</f>
        <v>14.82</v>
      </c>
      <c r="J150" s="20">
        <f>F150*68.97/30</f>
        <v>68.97</v>
      </c>
      <c r="K150" s="46" t="s">
        <v>41</v>
      </c>
      <c r="L150" s="40">
        <v>3.28</v>
      </c>
      <c r="M150" s="78"/>
    </row>
    <row r="151" spans="1:13">
      <c r="A151" s="74"/>
      <c r="B151" s="75"/>
      <c r="C151" s="76"/>
      <c r="D151" s="77" t="s">
        <v>147</v>
      </c>
      <c r="E151" s="36" t="s">
        <v>65</v>
      </c>
      <c r="F151" s="31">
        <v>100</v>
      </c>
      <c r="G151" s="31">
        <v>0.4</v>
      </c>
      <c r="H151" s="31">
        <v>0.4</v>
      </c>
      <c r="I151" s="31">
        <v>10.95</v>
      </c>
      <c r="J151" s="31">
        <v>49</v>
      </c>
      <c r="K151" s="46" t="s">
        <v>27</v>
      </c>
      <c r="L151" s="40">
        <v>32.86</v>
      </c>
      <c r="M151" s="78"/>
    </row>
    <row r="152" spans="1:13">
      <c r="A152" s="81"/>
      <c r="B152" s="82"/>
      <c r="C152" s="83"/>
      <c r="D152" s="84" t="s">
        <v>29</v>
      </c>
      <c r="E152" s="85"/>
      <c r="F152" s="86">
        <f t="shared" ref="F152:J152" si="12">SUM(F146:F151)</f>
        <v>690</v>
      </c>
      <c r="G152" s="86">
        <f t="shared" si="12"/>
        <v>19.801199999999998</v>
      </c>
      <c r="H152" s="86">
        <f t="shared" si="12"/>
        <v>21.442</v>
      </c>
      <c r="I152" s="86">
        <f t="shared" si="12"/>
        <v>88.088800000000006</v>
      </c>
      <c r="J152" s="86">
        <f t="shared" si="12"/>
        <v>624.01800000000003</v>
      </c>
      <c r="K152" s="47"/>
      <c r="L152" s="28">
        <f>SUM(L146:L151)</f>
        <v>125.03999999999999</v>
      </c>
      <c r="M152" s="78"/>
    </row>
    <row r="153" spans="1:13" ht="31.5">
      <c r="A153" s="74">
        <v>2</v>
      </c>
      <c r="B153" s="75">
        <v>4</v>
      </c>
      <c r="C153" s="76" t="s">
        <v>30</v>
      </c>
      <c r="D153" s="77" t="s">
        <v>31</v>
      </c>
      <c r="E153" s="8" t="s">
        <v>139</v>
      </c>
      <c r="F153" s="5">
        <v>60</v>
      </c>
      <c r="G153" s="5">
        <f>F153*1.2/100</f>
        <v>0.72</v>
      </c>
      <c r="H153" s="5">
        <f>F153*3.6/60</f>
        <v>3.6</v>
      </c>
      <c r="I153" s="5">
        <f>F153*16.2/100</f>
        <v>9.7200000000000006</v>
      </c>
      <c r="J153" s="5">
        <f>F153*124/100</f>
        <v>74.400000000000006</v>
      </c>
      <c r="K153" s="48" t="s">
        <v>95</v>
      </c>
      <c r="L153" s="40">
        <v>32.659999999999997</v>
      </c>
      <c r="M153" s="78"/>
    </row>
    <row r="154" spans="1:13" ht="31.5">
      <c r="A154" s="74"/>
      <c r="B154" s="75"/>
      <c r="C154" s="76"/>
      <c r="D154" s="77" t="s">
        <v>32</v>
      </c>
      <c r="E154" s="8" t="s">
        <v>140</v>
      </c>
      <c r="F154" s="5">
        <v>200</v>
      </c>
      <c r="G154" s="5">
        <f>F154*3.9/200</f>
        <v>3.9</v>
      </c>
      <c r="H154" s="5">
        <f>F154*4.1/200</f>
        <v>4.0999999999999996</v>
      </c>
      <c r="I154" s="5">
        <f>F154*25.32/200</f>
        <v>25.32</v>
      </c>
      <c r="J154" s="5">
        <f>F154*154.4/200</f>
        <v>154.4</v>
      </c>
      <c r="K154" s="48" t="s">
        <v>158</v>
      </c>
      <c r="L154" s="40">
        <v>18.829999999999998</v>
      </c>
      <c r="M154" s="78"/>
    </row>
    <row r="155" spans="1:13">
      <c r="A155" s="74"/>
      <c r="B155" s="75"/>
      <c r="C155" s="76"/>
      <c r="D155" s="77" t="s">
        <v>33</v>
      </c>
      <c r="E155" s="8" t="s">
        <v>44</v>
      </c>
      <c r="F155" s="6">
        <v>90</v>
      </c>
      <c r="G155" s="6">
        <f>F155*17.19/90</f>
        <v>17.190000000000001</v>
      </c>
      <c r="H155" s="6">
        <f>F155*14.31/90</f>
        <v>14.31</v>
      </c>
      <c r="I155" s="6">
        <f>F155*0.18/90</f>
        <v>0.18</v>
      </c>
      <c r="J155" s="6">
        <f>F155*198/90</f>
        <v>198</v>
      </c>
      <c r="K155" s="48">
        <v>4232</v>
      </c>
      <c r="L155" s="40">
        <v>58.49</v>
      </c>
      <c r="M155" s="78"/>
    </row>
    <row r="156" spans="1:13">
      <c r="A156" s="74"/>
      <c r="B156" s="75"/>
      <c r="C156" s="76"/>
      <c r="D156" s="77" t="s">
        <v>34</v>
      </c>
      <c r="E156" s="3" t="s">
        <v>93</v>
      </c>
      <c r="F156" s="5">
        <v>150</v>
      </c>
      <c r="G156" s="5">
        <f>F156*4.8/200</f>
        <v>3.6</v>
      </c>
      <c r="H156" s="5">
        <f>F156*7.2/200</f>
        <v>5.4</v>
      </c>
      <c r="I156" s="5">
        <f>F156*48.9/200</f>
        <v>36.674999999999997</v>
      </c>
      <c r="J156" s="5">
        <f>F156*280/200</f>
        <v>210</v>
      </c>
      <c r="K156" s="48" t="s">
        <v>96</v>
      </c>
      <c r="L156" s="40">
        <v>15.38</v>
      </c>
      <c r="M156" s="78"/>
    </row>
    <row r="157" spans="1:13">
      <c r="A157" s="74"/>
      <c r="B157" s="75"/>
      <c r="C157" s="76"/>
      <c r="D157" s="77" t="s">
        <v>72</v>
      </c>
      <c r="E157" s="8" t="s">
        <v>94</v>
      </c>
      <c r="F157" s="5">
        <v>200</v>
      </c>
      <c r="G157" s="5">
        <v>0.7</v>
      </c>
      <c r="H157" s="5">
        <v>0</v>
      </c>
      <c r="I157" s="5">
        <v>21.1</v>
      </c>
      <c r="J157" s="5">
        <v>88</v>
      </c>
      <c r="K157" s="48" t="s">
        <v>97</v>
      </c>
      <c r="L157" s="40">
        <v>12.65</v>
      </c>
      <c r="M157" s="78"/>
    </row>
    <row r="158" spans="1:13" ht="31.5">
      <c r="A158" s="74"/>
      <c r="B158" s="75"/>
      <c r="C158" s="76"/>
      <c r="D158" s="77" t="s">
        <v>37</v>
      </c>
      <c r="E158" s="7" t="s">
        <v>38</v>
      </c>
      <c r="F158" s="6">
        <v>36</v>
      </c>
      <c r="G158" s="6">
        <f>SUM(F158*2.37/30)</f>
        <v>2.8440000000000003</v>
      </c>
      <c r="H158" s="6">
        <f>SUM(F158*0.3/30)</f>
        <v>0.36</v>
      </c>
      <c r="I158" s="6">
        <f>SUM(F158*14.49/30)</f>
        <v>17.387999999999998</v>
      </c>
      <c r="J158" s="6">
        <f>SUM(F158*70.14/30)</f>
        <v>84.167999999999992</v>
      </c>
      <c r="K158" s="48" t="s">
        <v>27</v>
      </c>
      <c r="L158" s="40">
        <v>3.77</v>
      </c>
      <c r="M158" s="78"/>
    </row>
    <row r="159" spans="1:13">
      <c r="A159" s="74"/>
      <c r="B159" s="75"/>
      <c r="C159" s="76"/>
      <c r="D159" s="77" t="s">
        <v>39</v>
      </c>
      <c r="E159" s="3" t="s">
        <v>101</v>
      </c>
      <c r="F159" s="6">
        <v>30</v>
      </c>
      <c r="G159" s="6">
        <f>SUM(F159*1.68/30)</f>
        <v>1.68</v>
      </c>
      <c r="H159" s="6">
        <f>SUM(F159*0.33/30)</f>
        <v>0.33</v>
      </c>
      <c r="I159" s="6">
        <f>SUM(F159*14.82/30)</f>
        <v>14.82</v>
      </c>
      <c r="J159" s="6">
        <f>SUM(F159*68.97/30)</f>
        <v>68.97</v>
      </c>
      <c r="K159" s="48" t="s">
        <v>41</v>
      </c>
      <c r="L159" s="40">
        <v>3.27</v>
      </c>
      <c r="M159" s="78"/>
    </row>
    <row r="160" spans="1:13">
      <c r="A160" s="74"/>
      <c r="B160" s="75"/>
      <c r="C160" s="76"/>
      <c r="D160" s="79"/>
      <c r="E160" s="79"/>
      <c r="F160" s="23"/>
      <c r="G160" s="23"/>
      <c r="H160" s="23"/>
      <c r="I160" s="23"/>
      <c r="J160" s="23"/>
      <c r="K160" s="46"/>
      <c r="L160" s="40"/>
      <c r="M160" s="78"/>
    </row>
    <row r="161" spans="1:13">
      <c r="A161" s="74"/>
      <c r="B161" s="75"/>
      <c r="C161" s="76"/>
      <c r="D161" s="79"/>
      <c r="E161" s="79"/>
      <c r="F161" s="23"/>
      <c r="G161" s="23"/>
      <c r="H161" s="23"/>
      <c r="I161" s="23"/>
      <c r="J161" s="23"/>
      <c r="K161" s="46"/>
      <c r="L161" s="40"/>
      <c r="M161" s="78"/>
    </row>
    <row r="162" spans="1:13">
      <c r="A162" s="81"/>
      <c r="B162" s="82"/>
      <c r="C162" s="83"/>
      <c r="D162" s="84" t="s">
        <v>29</v>
      </c>
      <c r="E162" s="85"/>
      <c r="F162" s="86">
        <f>SUM(F153:F161)</f>
        <v>766</v>
      </c>
      <c r="G162" s="86">
        <f t="shared" ref="G162:J162" si="13">SUM(G153:G161)</f>
        <v>30.634000000000004</v>
      </c>
      <c r="H162" s="86">
        <f t="shared" si="13"/>
        <v>28.099999999999994</v>
      </c>
      <c r="I162" s="86">
        <f t="shared" si="13"/>
        <v>125.203</v>
      </c>
      <c r="J162" s="86">
        <f t="shared" si="13"/>
        <v>877.93799999999999</v>
      </c>
      <c r="K162" s="47"/>
      <c r="L162" s="28">
        <f>SUM(L153:L161)</f>
        <v>145.05000000000001</v>
      </c>
      <c r="M162" s="78"/>
    </row>
    <row r="163" spans="1:13">
      <c r="A163" s="81">
        <v>2</v>
      </c>
      <c r="B163" s="82">
        <v>4</v>
      </c>
      <c r="C163" s="111" t="s">
        <v>40</v>
      </c>
      <c r="D163" s="112"/>
      <c r="E163" s="85"/>
      <c r="F163" s="86">
        <f>F152+F162</f>
        <v>1456</v>
      </c>
      <c r="G163" s="86">
        <f t="shared" ref="G163:L163" si="14">G152+G162</f>
        <v>50.435200000000002</v>
      </c>
      <c r="H163" s="86">
        <f t="shared" si="14"/>
        <v>49.541999999999994</v>
      </c>
      <c r="I163" s="86">
        <f t="shared" si="14"/>
        <v>213.29180000000002</v>
      </c>
      <c r="J163" s="86">
        <f t="shared" si="14"/>
        <v>1501.9560000000001</v>
      </c>
      <c r="K163" s="47"/>
      <c r="L163" s="28">
        <f t="shared" si="14"/>
        <v>270.09000000000003</v>
      </c>
      <c r="M163" s="78"/>
    </row>
    <row r="164" spans="1:13" ht="31.5">
      <c r="A164" s="74">
        <v>2</v>
      </c>
      <c r="B164" s="75">
        <v>5</v>
      </c>
      <c r="C164" s="76" t="s">
        <v>22</v>
      </c>
      <c r="D164" s="77" t="s">
        <v>23</v>
      </c>
      <c r="E164" s="37" t="s">
        <v>141</v>
      </c>
      <c r="F164" s="35">
        <v>300</v>
      </c>
      <c r="G164" s="20">
        <f>F164*7.17/200</f>
        <v>10.755000000000001</v>
      </c>
      <c r="H164" s="20">
        <f>F164*8.7/200</f>
        <v>13.05</v>
      </c>
      <c r="I164" s="20">
        <f>F164*28.46/200</f>
        <v>42.69</v>
      </c>
      <c r="J164" s="20">
        <f>F164*221.1/200</f>
        <v>331.65</v>
      </c>
      <c r="K164" s="50" t="s">
        <v>114</v>
      </c>
      <c r="L164" s="41">
        <v>49.84</v>
      </c>
      <c r="M164" s="78"/>
    </row>
    <row r="165" spans="1:13">
      <c r="A165" s="74"/>
      <c r="B165" s="75"/>
      <c r="C165" s="76"/>
      <c r="D165" s="79" t="s">
        <v>24</v>
      </c>
      <c r="E165" s="38" t="s">
        <v>25</v>
      </c>
      <c r="F165" s="20">
        <v>200</v>
      </c>
      <c r="G165" s="20">
        <v>3.1</v>
      </c>
      <c r="H165" s="20">
        <v>3.2</v>
      </c>
      <c r="I165" s="20">
        <v>14.4</v>
      </c>
      <c r="J165" s="20">
        <v>99</v>
      </c>
      <c r="K165" s="46" t="s">
        <v>129</v>
      </c>
      <c r="L165" s="41">
        <v>22.91</v>
      </c>
      <c r="M165" s="78"/>
    </row>
    <row r="166" spans="1:13">
      <c r="A166" s="74"/>
      <c r="B166" s="75"/>
      <c r="C166" s="76"/>
      <c r="D166" s="77" t="s">
        <v>37</v>
      </c>
      <c r="E166" s="20" t="s">
        <v>28</v>
      </c>
      <c r="F166" s="20">
        <v>79</v>
      </c>
      <c r="G166" s="20">
        <f>F166*6.1/50</f>
        <v>9.6379999999999999</v>
      </c>
      <c r="H166" s="20">
        <f>F166*3.7/50</f>
        <v>5.8460000000000001</v>
      </c>
      <c r="I166" s="20">
        <f>F166*17.5/50</f>
        <v>27.65</v>
      </c>
      <c r="J166" s="20">
        <f>F166*127.7/50</f>
        <v>201.76600000000002</v>
      </c>
      <c r="K166" s="50" t="s">
        <v>74</v>
      </c>
      <c r="L166" s="41">
        <v>46.71</v>
      </c>
      <c r="M166" s="78"/>
    </row>
    <row r="167" spans="1:13">
      <c r="A167" s="74"/>
      <c r="B167" s="75"/>
      <c r="C167" s="76"/>
      <c r="D167" s="77" t="s">
        <v>39</v>
      </c>
      <c r="E167" s="38" t="s">
        <v>101</v>
      </c>
      <c r="F167" s="31">
        <v>51</v>
      </c>
      <c r="G167" s="20">
        <f>F167*1.68/30</f>
        <v>2.8559999999999999</v>
      </c>
      <c r="H167" s="20">
        <f>F167*0.33/30</f>
        <v>0.56100000000000005</v>
      </c>
      <c r="I167" s="20">
        <f>F167*14.82/30</f>
        <v>25.194000000000003</v>
      </c>
      <c r="J167" s="20">
        <f>F167*68.97/30</f>
        <v>117.249</v>
      </c>
      <c r="K167" s="46" t="s">
        <v>27</v>
      </c>
      <c r="L167" s="41">
        <v>5.58</v>
      </c>
      <c r="M167" s="78"/>
    </row>
    <row r="168" spans="1:13">
      <c r="A168" s="74"/>
      <c r="B168" s="75"/>
      <c r="C168" s="76"/>
      <c r="D168" s="79"/>
      <c r="E168" s="9"/>
      <c r="F168" s="6"/>
      <c r="G168" s="6"/>
      <c r="H168" s="6"/>
      <c r="I168" s="6"/>
      <c r="J168" s="6"/>
      <c r="K168" s="46"/>
      <c r="L168" s="40"/>
      <c r="M168" s="78"/>
    </row>
    <row r="169" spans="1:13">
      <c r="A169" s="81"/>
      <c r="B169" s="82"/>
      <c r="C169" s="83"/>
      <c r="D169" s="84" t="s">
        <v>29</v>
      </c>
      <c r="E169" s="85"/>
      <c r="F169" s="86">
        <f>SUM(F164:F168)</f>
        <v>630</v>
      </c>
      <c r="G169" s="86">
        <f>SUM(G164:G168)</f>
        <v>26.349000000000004</v>
      </c>
      <c r="H169" s="86">
        <f>SUM(H164:H168)</f>
        <v>22.657</v>
      </c>
      <c r="I169" s="86">
        <f>SUM(I164:I168)</f>
        <v>109.934</v>
      </c>
      <c r="J169" s="86">
        <f>SUM(J164:J168)</f>
        <v>749.66499999999996</v>
      </c>
      <c r="K169" s="47"/>
      <c r="L169" s="28">
        <f>SUM(L164:L168)</f>
        <v>125.04</v>
      </c>
      <c r="M169" s="78"/>
    </row>
    <row r="170" spans="1:13" ht="31.5">
      <c r="A170" s="74">
        <v>2</v>
      </c>
      <c r="B170" s="75">
        <v>5</v>
      </c>
      <c r="C170" s="76" t="s">
        <v>30</v>
      </c>
      <c r="D170" s="77" t="s">
        <v>31</v>
      </c>
      <c r="E170" s="8" t="s">
        <v>98</v>
      </c>
      <c r="F170" s="5">
        <v>60</v>
      </c>
      <c r="G170" s="5">
        <f>F170*2.16/60</f>
        <v>2.1600000000000006</v>
      </c>
      <c r="H170" s="5">
        <f>F170*4.5/60</f>
        <v>4.5</v>
      </c>
      <c r="I170" s="5">
        <f>F170*9.9/60</f>
        <v>9.9</v>
      </c>
      <c r="J170" s="5">
        <f>F170*88.8/60</f>
        <v>88.8</v>
      </c>
      <c r="K170" s="50" t="s">
        <v>99</v>
      </c>
      <c r="L170" s="40">
        <v>10.11</v>
      </c>
      <c r="M170" s="78"/>
    </row>
    <row r="171" spans="1:13" ht="31.5">
      <c r="A171" s="74"/>
      <c r="B171" s="75"/>
      <c r="C171" s="76"/>
      <c r="D171" s="77" t="s">
        <v>32</v>
      </c>
      <c r="E171" s="9" t="s">
        <v>142</v>
      </c>
      <c r="F171" s="23">
        <v>200</v>
      </c>
      <c r="G171" s="23">
        <f>F171*3.76/200</f>
        <v>3.76</v>
      </c>
      <c r="H171" s="23">
        <f>F171*6.41/200</f>
        <v>6.41</v>
      </c>
      <c r="I171" s="23">
        <f>F171*11.19/200</f>
        <v>11.19</v>
      </c>
      <c r="J171" s="23">
        <f>F171*117.6/200</f>
        <v>117.6</v>
      </c>
      <c r="K171" s="50" t="s">
        <v>150</v>
      </c>
      <c r="L171" s="40">
        <v>32.5</v>
      </c>
      <c r="M171" s="78"/>
    </row>
    <row r="172" spans="1:13">
      <c r="A172" s="74"/>
      <c r="B172" s="75"/>
      <c r="C172" s="76"/>
      <c r="D172" s="77" t="s">
        <v>33</v>
      </c>
      <c r="E172" s="7" t="s">
        <v>59</v>
      </c>
      <c r="F172" s="4">
        <v>95</v>
      </c>
      <c r="G172" s="6">
        <f>F172*11.7/90</f>
        <v>12.35</v>
      </c>
      <c r="H172" s="6">
        <f>F172*11.61/90</f>
        <v>12.255000000000001</v>
      </c>
      <c r="I172" s="6">
        <f>F172*5.76/90</f>
        <v>6.0799999999999992</v>
      </c>
      <c r="J172" s="6">
        <f>F172*194/100</f>
        <v>184.3</v>
      </c>
      <c r="K172" s="46" t="s">
        <v>151</v>
      </c>
      <c r="L172" s="40">
        <v>75.67</v>
      </c>
      <c r="M172" s="78"/>
    </row>
    <row r="173" spans="1:13">
      <c r="A173" s="74"/>
      <c r="B173" s="75"/>
      <c r="C173" s="76"/>
      <c r="D173" s="77" t="s">
        <v>34</v>
      </c>
      <c r="E173" s="9" t="s">
        <v>60</v>
      </c>
      <c r="F173" s="23">
        <v>150</v>
      </c>
      <c r="G173" s="23">
        <f>F173*2.48/150</f>
        <v>2.48</v>
      </c>
      <c r="H173" s="23">
        <f>F173*3.98/150</f>
        <v>3.98</v>
      </c>
      <c r="I173" s="23">
        <f>F173*24.6/150</f>
        <v>24.6</v>
      </c>
      <c r="J173" s="23">
        <f>F173*144/150</f>
        <v>144</v>
      </c>
      <c r="K173" s="50" t="s">
        <v>61</v>
      </c>
      <c r="L173" s="40">
        <v>13.57</v>
      </c>
      <c r="M173" s="78"/>
    </row>
    <row r="174" spans="1:13">
      <c r="A174" s="74"/>
      <c r="B174" s="75"/>
      <c r="C174" s="76"/>
      <c r="D174" s="77" t="s">
        <v>72</v>
      </c>
      <c r="E174" s="7" t="s">
        <v>45</v>
      </c>
      <c r="F174" s="23">
        <v>200</v>
      </c>
      <c r="G174" s="23">
        <v>1</v>
      </c>
      <c r="H174" s="23">
        <v>0.1</v>
      </c>
      <c r="I174" s="23">
        <v>19.8</v>
      </c>
      <c r="J174" s="23">
        <v>84</v>
      </c>
      <c r="K174" s="50" t="s">
        <v>62</v>
      </c>
      <c r="L174" s="40">
        <v>6.78</v>
      </c>
      <c r="M174" s="78"/>
    </row>
    <row r="175" spans="1:13" ht="31.5">
      <c r="A175" s="74"/>
      <c r="B175" s="75"/>
      <c r="C175" s="76"/>
      <c r="D175" s="77" t="s">
        <v>37</v>
      </c>
      <c r="E175" s="7" t="s">
        <v>38</v>
      </c>
      <c r="F175" s="6">
        <v>30</v>
      </c>
      <c r="G175" s="6">
        <f>SUM(F175*2.37/30)</f>
        <v>2.37</v>
      </c>
      <c r="H175" s="6">
        <f>SUM(F175*0.3/30)</f>
        <v>0.3</v>
      </c>
      <c r="I175" s="6">
        <f>SUM(F175*14.49/30)</f>
        <v>14.49</v>
      </c>
      <c r="J175" s="6">
        <f>SUM(F175*70.14/30)</f>
        <v>70.14</v>
      </c>
      <c r="K175" s="50" t="s">
        <v>27</v>
      </c>
      <c r="L175" s="40">
        <v>3.14</v>
      </c>
      <c r="M175" s="78"/>
    </row>
    <row r="176" spans="1:13">
      <c r="A176" s="74"/>
      <c r="B176" s="75"/>
      <c r="C176" s="76"/>
      <c r="D176" s="77" t="s">
        <v>39</v>
      </c>
      <c r="E176" s="7" t="s">
        <v>101</v>
      </c>
      <c r="F176" s="6">
        <v>30</v>
      </c>
      <c r="G176" s="6">
        <f>SUM(F176*1.68/30)</f>
        <v>1.68</v>
      </c>
      <c r="H176" s="6">
        <f>SUM(F176*0.33/30)</f>
        <v>0.33</v>
      </c>
      <c r="I176" s="6">
        <f>SUM(F176*14.82/30)</f>
        <v>14.82</v>
      </c>
      <c r="J176" s="6">
        <f>SUM(F176*68.97/30)</f>
        <v>68.97</v>
      </c>
      <c r="K176" s="50" t="s">
        <v>41</v>
      </c>
      <c r="L176" s="40">
        <v>3.28</v>
      </c>
      <c r="M176" s="78"/>
    </row>
    <row r="177" spans="1:13">
      <c r="A177" s="74"/>
      <c r="B177" s="75"/>
      <c r="C177" s="76"/>
      <c r="D177" s="79"/>
      <c r="E177" s="79"/>
      <c r="F177" s="23"/>
      <c r="G177" s="23"/>
      <c r="H177" s="23"/>
      <c r="I177" s="23"/>
      <c r="J177" s="23"/>
      <c r="K177" s="46"/>
      <c r="L177" s="40"/>
      <c r="M177" s="78"/>
    </row>
    <row r="178" spans="1:13">
      <c r="A178" s="74"/>
      <c r="B178" s="75"/>
      <c r="C178" s="76"/>
      <c r="D178" s="79"/>
      <c r="E178" s="79"/>
      <c r="F178" s="23"/>
      <c r="G178" s="23"/>
      <c r="H178" s="23"/>
      <c r="I178" s="23"/>
      <c r="J178" s="23"/>
      <c r="K178" s="46"/>
      <c r="L178" s="40"/>
      <c r="M178" s="78"/>
    </row>
    <row r="179" spans="1:13">
      <c r="A179" s="81"/>
      <c r="B179" s="82"/>
      <c r="C179" s="83"/>
      <c r="D179" s="84" t="s">
        <v>29</v>
      </c>
      <c r="E179" s="85"/>
      <c r="F179" s="86">
        <f>SUM(F170:F178)</f>
        <v>765</v>
      </c>
      <c r="G179" s="86">
        <f>SUM(G170:G178)-0.01</f>
        <v>25.79</v>
      </c>
      <c r="H179" s="86">
        <f>SUM(H170:H178)</f>
        <v>27.875</v>
      </c>
      <c r="I179" s="86">
        <f>SUM(I170:I178)</f>
        <v>100.88</v>
      </c>
      <c r="J179" s="86">
        <f>SUM(J170:J178)</f>
        <v>757.81000000000006</v>
      </c>
      <c r="K179" s="47"/>
      <c r="L179" s="28">
        <f>SUM(L170:L178)</f>
        <v>145.04999999999998</v>
      </c>
      <c r="M179" s="78"/>
    </row>
    <row r="180" spans="1:13">
      <c r="A180" s="81">
        <v>2</v>
      </c>
      <c r="B180" s="82">
        <v>5</v>
      </c>
      <c r="C180" s="111" t="s">
        <v>40</v>
      </c>
      <c r="D180" s="112"/>
      <c r="E180" s="85"/>
      <c r="F180" s="86">
        <f>F169+F179</f>
        <v>1395</v>
      </c>
      <c r="G180" s="86">
        <f>G169+G179</f>
        <v>52.139000000000003</v>
      </c>
      <c r="H180" s="86">
        <f>H169+H179</f>
        <v>50.531999999999996</v>
      </c>
      <c r="I180" s="86">
        <f>I169+I179+0.01</f>
        <v>210.82399999999998</v>
      </c>
      <c r="J180" s="86">
        <f>J169+J179</f>
        <v>1507.4749999999999</v>
      </c>
      <c r="K180" s="47"/>
      <c r="L180" s="28">
        <f>L169+L179</f>
        <v>270.08999999999997</v>
      </c>
      <c r="M180" s="78"/>
    </row>
    <row r="181" spans="1:13" ht="16.5" thickBot="1">
      <c r="A181" s="95"/>
      <c r="B181" s="96"/>
      <c r="C181" s="113" t="s">
        <v>63</v>
      </c>
      <c r="D181" s="113"/>
      <c r="E181" s="113"/>
      <c r="F181" s="97">
        <f>(F23+F40+F58+F76+F93+F110+F128+F145+F163+F180)/(IF(F23=0,0,1)+IF(F40=0,0,1)+IF(F58=0,0,1)+IF(F76=0,0,1)+IF(F93=0,0,1)+IF(F110=0,0,1)+IF(F128=0,0,1)+IF(F145=0,0,1)+IF(F163=0,0,1)+IF(F180=0,0,1))</f>
        <v>1363.1</v>
      </c>
      <c r="G181" s="97">
        <f>(G23+G40+G58+G76+G93+G110+G128+G145+G163+G180)/(IF(G23=0,0,1)+IF(G40=0,0,1)+IF(G58=0,0,1)+IF(G76=0,0,1)+IF(G93=0,0,1)+IF(G110=0,0,1)+IF(G128=0,0,1)+IF(G145=0,0,1)+IF(G163=0,0,1)+IF(G180=0,0,1))</f>
        <v>51.393903333333334</v>
      </c>
      <c r="H181" s="97">
        <f>(H23+H40+H58+H76+H93+H110+H128+H145+H163+H180)/(IF(H23=0,0,1)+IF(H40=0,0,1)+IF(H58=0,0,1)+IF(H76=0,0,1)+IF(H93=0,0,1)+IF(H110=0,0,1)+IF(H128=0,0,1)+IF(H145=0,0,1)+IF(H163=0,0,1)+IF(H180=0,0,1))</f>
        <v>52.001480000000001</v>
      </c>
      <c r="I181" s="97">
        <f>(I23+I40+I58+I76+I93+I110+I128+I145+I163+I180)/(IF(I23=0,0,1)+IF(I40=0,0,1)+IF(I58=0,0,1)+IF(I76=0,0,1)+IF(I93=0,0,1)+IF(I110=0,0,1)+IF(I128=0,0,1)+IF(I145=0,0,1)+IF(I163=0,0,1)+IF(I180=0,0,1))</f>
        <v>199.45812333333333</v>
      </c>
      <c r="J181" s="97">
        <f>(J23+J40+J58+J76+J93+J110+J128+J145+J163+J180)/(IF(J23=0,0,1)+IF(J40=0,0,1)+IF(J58=0,0,1)+IF(J76=0,0,1)+IF(J93=0,0,1)+IF(J110=0,0,1)+IF(J128=0,0,1)+IF(J145=0,0,1)+IF(J163=0,0,1)+IF(J180=0,0,1))</f>
        <v>1472.0949033333334</v>
      </c>
      <c r="K181" s="52"/>
      <c r="L181" s="43">
        <f>(L23+L40+L58+L76+L93+L110+L128+L145+L163+L180)/(IF(L23=0,0,1)+IF(L40=0,0,1)+IF(L58=0,0,1)+IF(L76=0,0,1)+IF(L93=0,0,1)+IF(L110=0,0,1)+IF(L128=0,0,1)+IF(L145=0,0,1)+IF(L163=0,0,1)+IF(L180=0,0,1))</f>
        <v>270.09000000000003</v>
      </c>
      <c r="M181" s="78"/>
    </row>
    <row r="182" spans="1:13">
      <c r="C182" s="98"/>
      <c r="D182" s="99"/>
      <c r="E182" s="99"/>
      <c r="F182" s="98"/>
      <c r="G182" s="98"/>
      <c r="H182" s="98"/>
      <c r="I182" s="98"/>
      <c r="J182" s="98"/>
      <c r="K182" s="60"/>
      <c r="L182" s="61"/>
      <c r="M182" s="78"/>
    </row>
    <row r="183" spans="1:13">
      <c r="C183" s="98"/>
      <c r="D183" s="99"/>
      <c r="E183" s="99"/>
      <c r="F183" s="98"/>
      <c r="G183" s="98"/>
      <c r="H183" s="98"/>
      <c r="I183" s="98"/>
      <c r="J183" s="98"/>
      <c r="K183" s="60"/>
      <c r="L183" s="61"/>
      <c r="M183" s="78"/>
    </row>
    <row r="184" spans="1:13">
      <c r="C184" s="98"/>
      <c r="D184" s="99"/>
      <c r="E184" s="99"/>
      <c r="F184" s="98"/>
      <c r="G184" s="98"/>
      <c r="H184" s="98"/>
      <c r="I184" s="98"/>
      <c r="J184" s="98"/>
      <c r="K184" s="60"/>
      <c r="L184" s="61"/>
      <c r="M184" s="78"/>
    </row>
    <row r="185" spans="1:13">
      <c r="C185" s="98"/>
      <c r="D185" s="99"/>
      <c r="E185" s="99"/>
      <c r="F185" s="98"/>
      <c r="G185" s="98"/>
      <c r="H185" s="98"/>
      <c r="I185" s="98"/>
      <c r="J185" s="98"/>
      <c r="K185" s="60"/>
      <c r="L185" s="61"/>
      <c r="M185" s="78"/>
    </row>
    <row r="186" spans="1:13">
      <c r="C186" s="98"/>
      <c r="D186" s="99"/>
      <c r="E186" s="99"/>
      <c r="F186" s="98"/>
      <c r="G186" s="98"/>
      <c r="H186" s="98"/>
      <c r="I186" s="98"/>
      <c r="J186" s="98"/>
      <c r="K186" s="60"/>
      <c r="L186" s="61"/>
      <c r="M186" s="78"/>
    </row>
    <row r="187" spans="1:13">
      <c r="C187" s="98"/>
      <c r="D187" s="99"/>
      <c r="E187" s="99"/>
      <c r="F187" s="98"/>
      <c r="G187" s="98"/>
      <c r="H187" s="98"/>
      <c r="I187" s="98"/>
      <c r="J187" s="98"/>
      <c r="K187" s="60"/>
      <c r="L187" s="61"/>
      <c r="M187" s="78"/>
    </row>
    <row r="188" spans="1:13">
      <c r="C188" s="98"/>
      <c r="D188" s="99"/>
      <c r="E188" s="99"/>
      <c r="F188" s="98"/>
      <c r="G188" s="98"/>
      <c r="H188" s="98"/>
      <c r="I188" s="98"/>
      <c r="J188" s="98"/>
      <c r="K188" s="60"/>
      <c r="L188" s="61"/>
      <c r="M188" s="78"/>
    </row>
    <row r="189" spans="1:13">
      <c r="C189" s="98"/>
      <c r="D189" s="99"/>
      <c r="E189" s="99"/>
      <c r="F189" s="98"/>
      <c r="G189" s="98"/>
      <c r="H189" s="98"/>
      <c r="I189" s="98"/>
      <c r="J189" s="98"/>
      <c r="K189" s="60"/>
      <c r="L189" s="61"/>
      <c r="M189" s="78"/>
    </row>
    <row r="190" spans="1:13">
      <c r="C190" s="98"/>
      <c r="D190" s="99"/>
      <c r="E190" s="99"/>
      <c r="F190" s="98"/>
      <c r="G190" s="98"/>
      <c r="H190" s="98"/>
      <c r="I190" s="98"/>
      <c r="J190" s="98"/>
      <c r="K190" s="60"/>
      <c r="L190" s="61"/>
      <c r="M190" s="78"/>
    </row>
    <row r="191" spans="1:13">
      <c r="C191" s="98"/>
      <c r="D191" s="99"/>
      <c r="E191" s="99"/>
      <c r="F191" s="98"/>
      <c r="G191" s="98"/>
      <c r="H191" s="98"/>
      <c r="I191" s="98"/>
      <c r="J191" s="98"/>
      <c r="K191" s="60"/>
      <c r="L191" s="61"/>
      <c r="M191" s="78"/>
    </row>
    <row r="192" spans="1:13">
      <c r="C192" s="98"/>
      <c r="D192" s="99"/>
      <c r="E192" s="17"/>
      <c r="F192" s="100"/>
      <c r="G192" s="100"/>
      <c r="H192" s="100"/>
      <c r="I192" s="100"/>
      <c r="J192" s="100"/>
      <c r="K192" s="62"/>
      <c r="L192" s="63"/>
      <c r="M192" s="101"/>
    </row>
    <row r="193" spans="3:13">
      <c r="C193" s="98"/>
      <c r="D193" s="99"/>
      <c r="E193" s="17"/>
      <c r="F193" s="13"/>
      <c r="G193" s="14"/>
      <c r="H193" s="14"/>
      <c r="I193" s="14"/>
      <c r="J193" s="14"/>
      <c r="K193" s="54"/>
      <c r="L193" s="44"/>
      <c r="M193" s="44"/>
    </row>
    <row r="194" spans="3:13">
      <c r="C194" s="98"/>
      <c r="D194" s="99"/>
      <c r="E194" s="102"/>
      <c r="F194" s="15"/>
      <c r="G194" s="14"/>
      <c r="H194" s="14"/>
      <c r="I194" s="14"/>
      <c r="J194" s="14"/>
      <c r="K194" s="54"/>
      <c r="L194" s="44"/>
      <c r="M194" s="44"/>
    </row>
    <row r="195" spans="3:13">
      <c r="C195" s="98"/>
      <c r="D195" s="99"/>
      <c r="E195" s="16"/>
      <c r="F195" s="14"/>
      <c r="G195" s="14"/>
      <c r="H195" s="14"/>
      <c r="I195" s="14"/>
      <c r="J195" s="14"/>
      <c r="K195" s="54"/>
      <c r="L195" s="63"/>
      <c r="M195" s="101"/>
    </row>
    <row r="196" spans="3:13">
      <c r="C196" s="98"/>
      <c r="D196" s="99"/>
      <c r="E196" s="16"/>
      <c r="F196" s="14"/>
      <c r="G196" s="14"/>
      <c r="H196" s="14"/>
      <c r="I196" s="14"/>
      <c r="J196" s="14"/>
      <c r="K196" s="54"/>
      <c r="L196" s="63"/>
      <c r="M196" s="101"/>
    </row>
    <row r="197" spans="3:13">
      <c r="C197" s="98"/>
      <c r="D197" s="99"/>
      <c r="E197" s="16"/>
      <c r="F197" s="14"/>
      <c r="G197" s="14"/>
      <c r="H197" s="14"/>
      <c r="I197" s="14"/>
      <c r="J197" s="14"/>
      <c r="K197" s="54"/>
      <c r="L197" s="63"/>
      <c r="M197" s="101"/>
    </row>
    <row r="198" spans="3:13">
      <c r="C198" s="98"/>
      <c r="D198" s="99"/>
      <c r="E198" s="16"/>
      <c r="F198" s="14"/>
      <c r="G198" s="14"/>
      <c r="H198" s="14"/>
      <c r="I198" s="14"/>
      <c r="J198" s="14"/>
      <c r="K198" s="54"/>
      <c r="L198" s="63"/>
      <c r="M198" s="101"/>
    </row>
    <row r="199" spans="3:13">
      <c r="C199" s="98"/>
      <c r="D199" s="99"/>
      <c r="E199" s="17"/>
      <c r="F199" s="18"/>
      <c r="G199" s="14"/>
      <c r="H199" s="14"/>
      <c r="I199" s="14"/>
      <c r="J199" s="14"/>
      <c r="K199" s="62"/>
      <c r="L199" s="63"/>
      <c r="M199" s="101"/>
    </row>
    <row r="200" spans="3:13">
      <c r="C200" s="98"/>
      <c r="D200" s="99"/>
      <c r="E200" s="16"/>
      <c r="F200" s="14"/>
      <c r="G200" s="14"/>
      <c r="H200" s="14"/>
      <c r="I200" s="14"/>
      <c r="J200" s="14"/>
      <c r="K200" s="53"/>
      <c r="L200" s="63"/>
      <c r="M200" s="101"/>
    </row>
    <row r="201" spans="3:13">
      <c r="C201" s="98"/>
      <c r="D201" s="99"/>
      <c r="E201" s="16"/>
      <c r="F201" s="14"/>
      <c r="G201" s="14"/>
      <c r="H201" s="14"/>
      <c r="I201" s="14"/>
      <c r="J201" s="14"/>
      <c r="K201" s="53"/>
      <c r="L201" s="63"/>
      <c r="M201" s="101"/>
    </row>
    <row r="202" spans="3:13">
      <c r="C202" s="98"/>
      <c r="D202" s="99"/>
      <c r="E202" s="16"/>
      <c r="F202" s="14"/>
      <c r="G202" s="14"/>
      <c r="H202" s="14"/>
      <c r="I202" s="14"/>
      <c r="J202" s="14"/>
      <c r="K202" s="53"/>
      <c r="L202" s="63"/>
      <c r="M202" s="101"/>
    </row>
    <row r="203" spans="3:13">
      <c r="C203" s="98"/>
      <c r="D203" s="99"/>
      <c r="E203" s="16"/>
      <c r="F203" s="14"/>
      <c r="G203" s="14"/>
      <c r="H203" s="14"/>
      <c r="I203" s="14"/>
      <c r="J203" s="14"/>
      <c r="K203" s="53"/>
      <c r="L203" s="63"/>
      <c r="M203" s="101"/>
    </row>
    <row r="204" spans="3:13">
      <c r="C204" s="98"/>
      <c r="D204" s="99"/>
      <c r="E204" s="16"/>
      <c r="F204" s="14"/>
      <c r="G204" s="14"/>
      <c r="H204" s="14"/>
      <c r="I204" s="14"/>
      <c r="J204" s="14"/>
      <c r="K204" s="53"/>
      <c r="L204" s="63"/>
      <c r="M204" s="101"/>
    </row>
    <row r="205" spans="3:13">
      <c r="C205" s="98"/>
      <c r="D205" s="99"/>
      <c r="E205" s="13"/>
      <c r="F205" s="14"/>
      <c r="G205" s="14"/>
      <c r="H205" s="14"/>
      <c r="I205" s="14"/>
      <c r="J205" s="14"/>
      <c r="K205" s="54"/>
      <c r="L205" s="63"/>
      <c r="M205" s="101"/>
    </row>
    <row r="206" spans="3:13">
      <c r="C206" s="98"/>
      <c r="D206" s="99"/>
      <c r="E206" s="13"/>
      <c r="F206" s="14"/>
      <c r="G206" s="14"/>
      <c r="H206" s="14"/>
      <c r="I206" s="14"/>
      <c r="J206" s="14"/>
      <c r="K206" s="53"/>
      <c r="L206" s="63"/>
      <c r="M206" s="101"/>
    </row>
    <row r="207" spans="3:13">
      <c r="E207" s="2"/>
      <c r="F207" s="1"/>
      <c r="G207" s="1"/>
      <c r="H207" s="1"/>
      <c r="I207" s="1"/>
      <c r="J207" s="1"/>
      <c r="K207" s="64"/>
      <c r="L207" s="65"/>
      <c r="M207" s="103"/>
    </row>
    <row r="208" spans="3:13">
      <c r="E208" s="104"/>
      <c r="F208" s="105"/>
      <c r="G208" s="105"/>
      <c r="H208" s="105"/>
      <c r="I208" s="105"/>
      <c r="J208" s="105"/>
      <c r="K208" s="66"/>
      <c r="L208" s="65"/>
      <c r="M208" s="103"/>
    </row>
    <row r="209" spans="5:13">
      <c r="E209" s="104"/>
      <c r="F209" s="105"/>
      <c r="G209" s="105"/>
      <c r="H209" s="105"/>
      <c r="I209" s="105"/>
      <c r="J209" s="105"/>
      <c r="K209" s="66"/>
      <c r="L209" s="65"/>
      <c r="M209" s="103"/>
    </row>
  </sheetData>
  <mergeCells count="15">
    <mergeCell ref="C40:D40"/>
    <mergeCell ref="C1:E1"/>
    <mergeCell ref="H1:K1"/>
    <mergeCell ref="A2:F2"/>
    <mergeCell ref="H2:K2"/>
    <mergeCell ref="C23:D23"/>
    <mergeCell ref="C163:D163"/>
    <mergeCell ref="C180:D180"/>
    <mergeCell ref="C181:E181"/>
    <mergeCell ref="C58:D58"/>
    <mergeCell ref="C76:D76"/>
    <mergeCell ref="C93:D93"/>
    <mergeCell ref="C110:D110"/>
    <mergeCell ref="C128:D128"/>
    <mergeCell ref="C145:D145"/>
  </mergeCells>
  <pageMargins left="0.7" right="0.7" top="0.75" bottom="0.75" header="0.3" footer="0.3"/>
  <pageSetup paperSize="9" scale="82" orientation="landscape" r:id="rId1"/>
  <rowBreaks count="9" manualBreakCount="9">
    <brk id="23" max="11" man="1"/>
    <brk id="40" max="11" man="1"/>
    <brk id="58" max="11" man="1"/>
    <brk id="76" max="11" man="1"/>
    <brk id="93" max="11" man="1"/>
    <brk id="110" max="11" man="1"/>
    <brk id="128" max="11" man="1"/>
    <brk id="145" max="11" man="1"/>
    <brk id="163" max="11" man="1"/>
  </rowBreaks>
  <ignoredErrors>
    <ignoredError sqref="G179 G76 I180" formula="1"/>
    <ignoredError sqref="G171:J171 G173:J173 G79:I79" unlockedFormula="1"/>
    <ignoredError sqref="K174 K84 K77 K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2026-04-22T09:22:40Z</cp:lastPrinted>
  <dcterms:created xsi:type="dcterms:W3CDTF">2022-05-16T14:23:00Z</dcterms:created>
  <dcterms:modified xsi:type="dcterms:W3CDTF">2026-05-15T03:53:09Z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